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65506" windowWidth="16425" windowHeight="8190" activeTab="0"/>
  </bookViews>
  <sheets>
    <sheet name="simspec" sheetId="1" r:id="rId1"/>
    <sheet name="Data Tables" sheetId="2" r:id="rId2"/>
    <sheet name="Bowen Mag 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  <author>Ken</author>
  </authors>
  <commentList>
    <comment ref="K7" authorId="0">
      <text>
        <r>
          <rPr>
            <sz val="10"/>
            <color indexed="8"/>
            <rFont val="Tahoma"/>
            <family val="2"/>
          </rPr>
          <t>total pixels in dispersion direction
See Data Table for more info.</t>
        </r>
      </text>
    </comment>
    <comment ref="G8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Taken from telescope-F#
This must be the same as or faster than the telescope.</t>
        </r>
      </text>
    </comment>
    <comment ref="K8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QE at selected wavelength.
(See Data Table)</t>
        </r>
      </text>
    </comment>
    <comment ref="C9" authorId="0">
      <text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sz val="10"/>
            <color indexed="8"/>
            <rFont val="Tahoma"/>
            <family val="2"/>
          </rPr>
          <t xml:space="preserve">%age of aperture, expressed as decimal ie 0.3
</t>
        </r>
      </text>
    </comment>
    <comment ref="G9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If actual collimator lens is &lt;d1 then vignetting and loss of through put will occur.</t>
        </r>
      </text>
    </comment>
    <comment ref="G10" authorId="0">
      <text>
        <r>
          <rPr>
            <sz val="10"/>
            <color indexed="8"/>
            <rFont val="Tahoma"/>
            <family val="2"/>
          </rPr>
          <t xml:space="preserve"> Leave at 15 micron for standard camera lenses.
Achromat can be 15 - 30.
</t>
        </r>
      </text>
    </comment>
    <comment ref="K11" authorId="0">
      <text>
        <r>
          <rPr>
            <sz val="10"/>
            <color indexed="8"/>
            <rFont val="Tahoma"/>
            <family val="2"/>
          </rPr>
          <t xml:space="preserve">Binning in dispersion axis- use 1 for maximum resolution
</t>
        </r>
      </text>
    </comment>
    <comment ref="G12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Focal length of camera lens = collimator lens for Littrow configuration.</t>
        </r>
      </text>
    </comment>
    <comment ref="K12" authorId="0">
      <text>
        <r>
          <rPr>
            <sz val="10"/>
            <color indexed="8"/>
            <rFont val="Tahoma"/>
            <family val="2"/>
          </rPr>
          <t xml:space="preserve">Binning in height direction of spectrum
</t>
        </r>
      </text>
    </comment>
    <comment ref="K13" authorId="0">
      <text>
        <r>
          <rPr>
            <sz val="10"/>
            <color indexed="8"/>
            <rFont val="Tahoma"/>
            <family val="2"/>
          </rPr>
          <t xml:space="preserve">Actual sampling value. &gt;2 meets the Nyquist criteria. 
</t>
        </r>
      </text>
    </comment>
    <comment ref="C14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 xml:space="preserve">Based on Altitude of target star.
(See Data Table)
</t>
        </r>
      </text>
    </comment>
    <comment ref="G14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If actual camera lens &lt;d'2 then vignetting will cause further loss of throughput efficiency occurs</t>
        </r>
      </text>
    </comment>
    <comment ref="C1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Based on Seeing image size</t>
        </r>
      </text>
    </comment>
    <comment ref="G16" authorId="0">
      <text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sz val="10"/>
            <color indexed="8"/>
            <rFont val="Tahoma"/>
            <family val="2"/>
          </rPr>
          <t xml:space="preserve">Leave at 15 micron for standard camera lenses.
Achromat can be 15 - 30.
</t>
        </r>
      </text>
    </comment>
    <comment ref="G18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0 degree for Littrow</t>
        </r>
      </text>
    </comment>
    <comment ref="G19" authorId="0">
      <text>
        <r>
          <rPr>
            <sz val="10"/>
            <color indexed="8"/>
            <rFont val="Tahoma"/>
            <family val="2"/>
          </rPr>
          <t xml:space="preserve"> If slit width is &lt; star image size, then slit width used for calculations.
</t>
        </r>
      </text>
    </comment>
    <comment ref="K19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 xml:space="preserve">Determine from measurement of spectral image.
Approx: 2 x star FWHM/pixel size
</t>
        </r>
      </text>
    </comment>
    <comment ref="G23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30mm gratings used in Spectra-L200.</t>
        </r>
      </text>
    </comment>
    <comment ref="G24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 xml:space="preserve">30mm Gratings used in Spectra_L200 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See Data Table</t>
        </r>
      </text>
    </comment>
    <comment ref="K24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 xml:space="preserve">See Data Table
</t>
        </r>
      </text>
    </comment>
    <comment ref="K26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&gt;10 is usable
&gt;50 is acceptable
&gt;200 is ProAm standard</t>
        </r>
      </text>
    </comment>
    <comment ref="K28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Estimate of Limiting Mag, based on SNR&gt;10</t>
        </r>
      </text>
    </comment>
    <comment ref="G3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Beamsplitter 0.9 or less</t>
        </r>
      </text>
    </comment>
    <comment ref="G3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If Littrow configuration, pick-off mirror approx.0.96</t>
        </r>
      </text>
    </comment>
    <comment ref="G4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Based on Optometrics grating curves</t>
        </r>
      </text>
    </comment>
    <comment ref="G41" authorId="0">
      <text>
        <r>
          <rPr>
            <sz val="10"/>
            <color indexed="8"/>
            <rFont val="Tahoma"/>
            <family val="2"/>
          </rPr>
          <t xml:space="preserve"> If slit is smaller than star image then &lt;1
CAOS calculations and lookup table used.</t>
        </r>
      </text>
    </comment>
    <comment ref="G42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% of incoming light reaching the CCD</t>
        </r>
      </text>
    </comment>
    <comment ref="K6" authorId="1">
      <text>
        <r>
          <rPr>
            <b/>
            <sz val="9"/>
            <rFont val="Tahoma"/>
            <family val="0"/>
          </rPr>
          <t>Ken:</t>
        </r>
        <r>
          <rPr>
            <sz val="9"/>
            <rFont val="Tahoma"/>
            <family val="0"/>
          </rPr>
          <t xml:space="preserve">
See Data Tables for camera Info</t>
        </r>
      </text>
    </comment>
    <comment ref="G7" authorId="1">
      <text>
        <r>
          <rPr>
            <b/>
            <sz val="9"/>
            <rFont val="Tahoma"/>
            <family val="0"/>
          </rPr>
          <t>Ken:</t>
        </r>
        <r>
          <rPr>
            <sz val="9"/>
            <rFont val="Tahoma"/>
            <family val="0"/>
          </rPr>
          <t xml:space="preserve">
200mm for Spectra-L200</t>
        </r>
      </text>
    </comment>
    <comment ref="G13" authorId="1">
      <text>
        <r>
          <rPr>
            <b/>
            <sz val="9"/>
            <rFont val="Tahoma"/>
            <family val="0"/>
          </rPr>
          <t>Ken:</t>
        </r>
        <r>
          <rPr>
            <sz val="9"/>
            <rFont val="Tahoma"/>
            <family val="0"/>
          </rPr>
          <t xml:space="preserve">
30mm for Spectra_L200</t>
        </r>
      </text>
    </comment>
    <comment ref="G21" authorId="1">
      <text>
        <r>
          <rPr>
            <b/>
            <sz val="9"/>
            <rFont val="Tahoma"/>
            <family val="0"/>
          </rPr>
          <t>Ken:</t>
        </r>
        <r>
          <rPr>
            <sz val="9"/>
            <rFont val="Tahoma"/>
            <family val="0"/>
          </rPr>
          <t xml:space="preserve">
Standard Spectra-L200 fitted with 600 l/mm
Optional:
150 l/mm
300 l/mm
1200 l/mm
1800 l/mm (TBD)</t>
        </r>
      </text>
    </comment>
    <comment ref="C15" authorId="1">
      <text>
        <r>
          <rPr>
            <b/>
            <sz val="9"/>
            <rFont val="Tahoma"/>
            <family val="0"/>
          </rPr>
          <t>Ken:</t>
        </r>
        <r>
          <rPr>
            <sz val="9"/>
            <rFont val="Tahoma"/>
            <family val="0"/>
          </rPr>
          <t xml:space="preserve">
See Data Table</t>
        </r>
      </text>
    </comment>
  </commentList>
</comments>
</file>

<file path=xl/sharedStrings.xml><?xml version="1.0" encoding="utf-8"?>
<sst xmlns="http://schemas.openxmlformats.org/spreadsheetml/2006/main" count="328" uniqueCount="275">
  <si>
    <r>
      <t xml:space="preserve">SIMSPEC V4.0 english version, by Ken Harrison , </t>
    </r>
    <r>
      <rPr>
        <b/>
        <sz val="10"/>
        <color indexed="10"/>
        <rFont val="Arial"/>
        <family val="2"/>
      </rPr>
      <t>original version by  Christian Buil</t>
    </r>
  </si>
  <si>
    <t>Latest Revision:</t>
  </si>
  <si>
    <t>Enter data in highlighted cells</t>
  </si>
  <si>
    <t xml:space="preserve">Telescope </t>
  </si>
  <si>
    <t>Spectrograph</t>
  </si>
  <si>
    <t xml:space="preserve">Camera </t>
  </si>
  <si>
    <t>Diameter (D) :</t>
  </si>
  <si>
    <t>mm</t>
  </si>
  <si>
    <t>Collimator</t>
  </si>
  <si>
    <t>pixel sizel (p) :</t>
  </si>
  <si>
    <t>microns</t>
  </si>
  <si>
    <t>Focal length (f) :</t>
  </si>
  <si>
    <t>Collimator-Focal length (f1) :</t>
  </si>
  <si>
    <t>number of X pixels(Nx) :</t>
  </si>
  <si>
    <t>F/D (F#) :</t>
  </si>
  <si>
    <t>Collimator-Required Focal ratio (Fc):</t>
  </si>
  <si>
    <r>
      <t>quantum efficiency (</t>
    </r>
    <r>
      <rPr>
        <sz val="10"/>
        <rFont val="Symbol"/>
        <family val="1"/>
      </rPr>
      <t>h</t>
    </r>
    <r>
      <rPr>
        <sz val="10"/>
        <rFont val="Arial"/>
        <family val="2"/>
      </rPr>
      <t>) :</t>
    </r>
  </si>
  <si>
    <t>%</t>
  </si>
  <si>
    <r>
      <t>Central obstruction (</t>
    </r>
    <r>
      <rPr>
        <sz val="10"/>
        <rFont val="Symbol"/>
        <family val="1"/>
      </rPr>
      <t>e</t>
    </r>
    <r>
      <rPr>
        <sz val="10"/>
        <rFont val="Arial"/>
        <family val="2"/>
      </rPr>
      <t>) :</t>
    </r>
  </si>
  <si>
    <t>Collimator-Minimum diameter (d1) :</t>
  </si>
  <si>
    <t>Read noise (RON) :</t>
  </si>
  <si>
    <t>e-/pixel</t>
  </si>
  <si>
    <t>Telescope throughput (To) :</t>
  </si>
  <si>
    <t>Resolution of Collimation lens-FWHMo :</t>
  </si>
  <si>
    <t>Dark noise (Nd) :</t>
  </si>
  <si>
    <t>e-/s/pixel</t>
  </si>
  <si>
    <t>Camera</t>
  </si>
  <si>
    <r>
      <t>Binning, X axis (f</t>
    </r>
    <r>
      <rPr>
        <sz val="10"/>
        <rFont val="Symbol"/>
        <family val="1"/>
      </rPr>
      <t>l</t>
    </r>
    <r>
      <rPr>
        <sz val="10"/>
        <rFont val="Arial"/>
        <family val="2"/>
      </rPr>
      <t>) :</t>
    </r>
  </si>
  <si>
    <t>Seeing/ Atmosphere</t>
  </si>
  <si>
    <t>Camera-Focal length (f2) :</t>
  </si>
  <si>
    <t>Binning, Y axis (fy) :</t>
  </si>
  <si>
    <r>
      <t>Seeing (</t>
    </r>
    <r>
      <rPr>
        <sz val="10"/>
        <rFont val="Symbol"/>
        <family val="1"/>
      </rPr>
      <t>f</t>
    </r>
    <r>
      <rPr>
        <sz val="10"/>
        <rFont val="Arial"/>
        <family val="2"/>
      </rPr>
      <t>) :</t>
    </r>
  </si>
  <si>
    <t>"</t>
  </si>
  <si>
    <t>Camera-Distance to grating (T) :</t>
  </si>
  <si>
    <t>Sampling Factor :</t>
  </si>
  <si>
    <t>Atmospheric transmission (Ta) :</t>
  </si>
  <si>
    <t>Camera-Minimum lens diameter (d'2) :</t>
  </si>
  <si>
    <t>Exposure</t>
  </si>
  <si>
    <t>Sky magnitude (mag/arc sec^2) :</t>
  </si>
  <si>
    <t>Camera-Maximum focal ratio (Fo) :</t>
  </si>
  <si>
    <t>Subs, exposure time (ts) :</t>
  </si>
  <si>
    <t>secs</t>
  </si>
  <si>
    <t>Resolution of Camera lens-FWHMc :</t>
  </si>
  <si>
    <t>number of subframes (n) :</t>
  </si>
  <si>
    <r>
      <t>Collimator/Camera -Total angle  (</t>
    </r>
    <r>
      <rPr>
        <sz val="10"/>
        <rFont val="Symbol"/>
        <family val="1"/>
      </rPr>
      <t>g</t>
    </r>
    <r>
      <rPr>
        <sz val="10"/>
        <rFont val="Arial"/>
        <family val="2"/>
      </rPr>
      <t>) :</t>
    </r>
  </si>
  <si>
    <t>°</t>
  </si>
  <si>
    <t>Total exposure time (t):</t>
  </si>
  <si>
    <t>Slit width (w) :</t>
  </si>
  <si>
    <t>Spectrum size/ spread</t>
  </si>
  <si>
    <t>NOTES:</t>
  </si>
  <si>
    <t>Grating</t>
  </si>
  <si>
    <t>Height of Spectrum (n) :</t>
  </si>
  <si>
    <t>pixel</t>
  </si>
  <si>
    <t>See www.astrosurf.org/buil/us/spe2/hresol1.htm</t>
  </si>
  <si>
    <t>Grating-Lines/ mm (n) :</t>
  </si>
  <si>
    <t>www.astrosurf.org/buil/us/stage/calcul/design_us.htm</t>
  </si>
  <si>
    <t>Grating-Diffraction order (k) :</t>
  </si>
  <si>
    <t>Target Star</t>
  </si>
  <si>
    <t>Grating- Minimum height (H) :</t>
  </si>
  <si>
    <t>Magnitude (m) :</t>
  </si>
  <si>
    <t xml:space="preserve">Slit Transmission </t>
  </si>
  <si>
    <t>Grating- Minimum width (W) :</t>
  </si>
  <si>
    <t>Effective temperature (Te) :</t>
  </si>
  <si>
    <t>K</t>
  </si>
  <si>
    <t>SUMMARY</t>
  </si>
  <si>
    <r>
      <t>Dispersion (</t>
    </r>
    <r>
      <rPr>
        <b/>
        <sz val="10"/>
        <color indexed="10"/>
        <rFont val="Symbol"/>
        <family val="1"/>
      </rPr>
      <t>r</t>
    </r>
    <r>
      <rPr>
        <b/>
        <sz val="10"/>
        <color indexed="10"/>
        <rFont val="Arial"/>
        <family val="2"/>
      </rPr>
      <t>) :</t>
    </r>
  </si>
  <si>
    <t>Å/ pixel</t>
  </si>
  <si>
    <t>Bolometric Correction (BC) :</t>
  </si>
  <si>
    <t>Resolving power R</t>
  </si>
  <si>
    <t>Resolving power (R) :</t>
  </si>
  <si>
    <t>Wavelength range</t>
  </si>
  <si>
    <t>Å</t>
  </si>
  <si>
    <r>
      <t>Spectral resolution (</t>
    </r>
    <r>
      <rPr>
        <b/>
        <sz val="10"/>
        <color indexed="10"/>
        <rFont val="Symbol"/>
        <family val="1"/>
      </rPr>
      <t>Dl</t>
    </r>
    <r>
      <rPr>
        <b/>
        <sz val="10"/>
        <color indexed="10"/>
        <rFont val="Arial"/>
        <family val="2"/>
      </rPr>
      <t>) :</t>
    </r>
  </si>
  <si>
    <t>SNR</t>
  </si>
  <si>
    <t>Spectral resolution</t>
  </si>
  <si>
    <t>Dispersion (r) :</t>
  </si>
  <si>
    <t>nm/mm</t>
  </si>
  <si>
    <t>Signal/Noise (SNR) :</t>
  </si>
  <si>
    <t>Signal/Noise (SNR)</t>
  </si>
  <si>
    <t>Wavelength Range</t>
  </si>
  <si>
    <t>Limiting Mag</t>
  </si>
  <si>
    <r>
      <t>Reference wavelength (</t>
    </r>
    <r>
      <rPr>
        <sz val="10"/>
        <rFont val="Symbol"/>
        <family val="1"/>
      </rPr>
      <t>l</t>
    </r>
    <r>
      <rPr>
        <sz val="10"/>
        <rFont val="Arial"/>
        <family val="2"/>
      </rPr>
      <t>0) :</t>
    </r>
  </si>
  <si>
    <t>Limiting Mag.(Bowen-mod):</t>
  </si>
  <si>
    <t xml:space="preserve">Grating-Lines/ mm </t>
  </si>
  <si>
    <r>
      <t>Lambda min. (</t>
    </r>
    <r>
      <rPr>
        <sz val="10"/>
        <color indexed="10"/>
        <rFont val="Symbol"/>
        <family val="1"/>
      </rPr>
      <t>l</t>
    </r>
    <r>
      <rPr>
        <sz val="10"/>
        <color indexed="10"/>
        <rFont val="Arial"/>
        <family val="2"/>
      </rPr>
      <t>1) :</t>
    </r>
  </si>
  <si>
    <t>Grating-Diffraction order</t>
  </si>
  <si>
    <r>
      <t>Lambda max. (</t>
    </r>
    <r>
      <rPr>
        <sz val="10"/>
        <color indexed="10"/>
        <rFont val="Symbol"/>
        <family val="1"/>
      </rPr>
      <t>l</t>
    </r>
    <r>
      <rPr>
        <sz val="10"/>
        <color indexed="10"/>
        <rFont val="Arial"/>
        <family val="2"/>
      </rPr>
      <t>2) :</t>
    </r>
  </si>
  <si>
    <t>Slit width</t>
  </si>
  <si>
    <t>Wavelength range/ image frame:</t>
  </si>
  <si>
    <t>Other Results</t>
  </si>
  <si>
    <t>Throughput efficiency</t>
  </si>
  <si>
    <t>SNR Calculations</t>
  </si>
  <si>
    <r>
      <t>Angle of incidence (</t>
    </r>
    <r>
      <rPr>
        <sz val="10"/>
        <color indexed="10"/>
        <rFont val="Symbol"/>
        <family val="1"/>
      </rPr>
      <t>a</t>
    </r>
    <r>
      <rPr>
        <sz val="10"/>
        <color indexed="10"/>
        <rFont val="Arial"/>
        <family val="2"/>
      </rPr>
      <t>) :</t>
    </r>
  </si>
  <si>
    <t>Transmission efficiency- guide system:</t>
  </si>
  <si>
    <t>Number of  photons (E) :</t>
  </si>
  <si>
    <t>photons/cm2/s/Å</t>
  </si>
  <si>
    <r>
      <t>Angle of diffraction (</t>
    </r>
    <r>
      <rPr>
        <sz val="10"/>
        <color indexed="10"/>
        <rFont val="Symbol"/>
        <family val="1"/>
      </rPr>
      <t>b</t>
    </r>
    <r>
      <rPr>
        <sz val="10"/>
        <color indexed="10"/>
        <rFont val="Arial"/>
        <family val="2"/>
      </rPr>
      <t>) :</t>
    </r>
  </si>
  <si>
    <t>Transmission efficiency -Littrow mirror:</t>
  </si>
  <si>
    <t>Sky background(Ed) :</t>
  </si>
  <si>
    <t>photons/cm2/s/Å/ arc sec</t>
  </si>
  <si>
    <t>Anamorphic factor (r) :</t>
  </si>
  <si>
    <t>Transmission efficiency-Collimator lens (To) :</t>
  </si>
  <si>
    <t>Final Efficiency (R) :</t>
  </si>
  <si>
    <t>diffraction limit grating, FWHMd :</t>
  </si>
  <si>
    <t>Transmission efficiency-Camera lens (Tc) :</t>
  </si>
  <si>
    <t>Useful signal (Nm) :</t>
  </si>
  <si>
    <t>Slit/ image width on CCD, FWHMt :</t>
  </si>
  <si>
    <t>Transmission efficiency-Grating (Tg) :</t>
  </si>
  <si>
    <t>Background noise (Ns) :</t>
  </si>
  <si>
    <t>Entrance slit transmission(Tf):</t>
  </si>
  <si>
    <r>
      <t>Noise(</t>
    </r>
    <r>
      <rPr>
        <sz val="10"/>
        <rFont val="Symbol"/>
        <family val="1"/>
      </rPr>
      <t>s</t>
    </r>
    <r>
      <rPr>
        <sz val="10"/>
        <rFont val="Arial"/>
        <family val="2"/>
      </rPr>
      <t>) :</t>
    </r>
  </si>
  <si>
    <t>e-</t>
  </si>
  <si>
    <t>Total Transmission of Spectrograph (Ts) :</t>
  </si>
  <si>
    <r>
      <t xml:space="preserve">Signal/Noise by interval </t>
    </r>
    <r>
      <rPr>
        <sz val="10"/>
        <rFont val="Symbol"/>
        <family val="1"/>
      </rPr>
      <t>Dl</t>
    </r>
    <r>
      <rPr>
        <sz val="10"/>
        <rFont val="Arial"/>
        <family val="2"/>
      </rPr>
      <t xml:space="preserve"> :</t>
    </r>
  </si>
  <si>
    <t>Noise from Signal :</t>
  </si>
  <si>
    <t>Noise from Electronics :</t>
  </si>
  <si>
    <t>REVISION:</t>
  </si>
  <si>
    <t>V4.0 - April 2012</t>
  </si>
  <si>
    <t>New layout. Added Data Page. Updated comments</t>
  </si>
  <si>
    <t>V3.3a -Jan 2012</t>
  </si>
  <si>
    <t>Collimator focal ratio set to match telescope. Camera focal ratio no longer an input.</t>
  </si>
  <si>
    <t>V3.3 -May 2011</t>
  </si>
  <si>
    <t>Corrections to the equation for FWHMt ( incorrectly calculated for slit&lt;star)</t>
  </si>
  <si>
    <t>V3.2c-Oct 2010</t>
  </si>
  <si>
    <t>-Slit width now in micron</t>
  </si>
  <si>
    <t>V3.2b -July 2010</t>
  </si>
  <si>
    <t>Transmission efficiencies added for guider and Littrow mirror</t>
  </si>
  <si>
    <t>V3.2a -April 2010</t>
  </si>
  <si>
    <t>- Fixed slit width v's star size for resolution calculation. Based on CAOS data.</t>
  </si>
  <si>
    <t>-SNRcalculations amended to follow CAOS formulae</t>
  </si>
  <si>
    <t>-Bowen magnitude now based on spectrum width and units corrected.</t>
  </si>
  <si>
    <t>Atmospheric Transmission (Ta)</t>
  </si>
  <si>
    <t>CCD Efficiency Curves (QE)</t>
  </si>
  <si>
    <t>Relative</t>
  </si>
  <si>
    <t>Absolute</t>
  </si>
  <si>
    <t xml:space="preserve"> (Based on ICX285AL - ATiK314L/DSI III/ SXV-H9)</t>
  </si>
  <si>
    <t>Zenith Angle</t>
  </si>
  <si>
    <t>Transmission</t>
  </si>
  <si>
    <t>(@5500A)</t>
  </si>
  <si>
    <t>Wavelength (A)</t>
  </si>
  <si>
    <t>Efficiency</t>
  </si>
  <si>
    <t>Max QE approx=</t>
  </si>
  <si>
    <t>-</t>
  </si>
  <si>
    <t>See:</t>
  </si>
  <si>
    <t>http://www.licha.de/astro_article_ccd_sortable_compare.php</t>
  </si>
  <si>
    <t>Zenith Angle = 90 - Altitude</t>
  </si>
  <si>
    <t>Bolometric Corrections (BC)</t>
  </si>
  <si>
    <t>Class</t>
  </si>
  <si>
    <t>Main</t>
  </si>
  <si>
    <t>Giants</t>
  </si>
  <si>
    <t>Supergiants</t>
  </si>
  <si>
    <t>Sequence</t>
  </si>
  <si>
    <t>O3</t>
  </si>
  <si>
    <t>G0</t>
  </si>
  <si>
    <t>G5</t>
  </si>
  <si>
    <t>K0</t>
  </si>
  <si>
    <t>K5</t>
  </si>
  <si>
    <t>M0</t>
  </si>
  <si>
    <t>See: "Stars and their Spectra" - Kaler, 2nd Ed. P19</t>
  </si>
  <si>
    <t>Surface Temperature</t>
  </si>
  <si>
    <t>Temp (K)</t>
  </si>
  <si>
    <t>O</t>
  </si>
  <si>
    <t>&lt;3700</t>
  </si>
  <si>
    <t>http://en.wikipedia.org/wiki/Stellar_classification</t>
  </si>
  <si>
    <t>Limiting magnitude - Spectroscope</t>
  </si>
  <si>
    <t>Bowen's Formula</t>
  </si>
  <si>
    <t>Corrected and revised April 2012</t>
  </si>
  <si>
    <t>Original formula:</t>
  </si>
  <si>
    <t>m=12 + 2.5 log(( W* D1* Td* g* q* t* (dλ/dθ)/(f1* f2* H* α))</t>
  </si>
  <si>
    <t>NB convert units to metres and radians</t>
  </si>
  <si>
    <t>Where m is the limiting B magnitude to give a "usable spectrum"</t>
  </si>
  <si>
    <t>Note: This formula is presented out of historical interest. The calculated magnitudes are only estimates. First promolgated by Bowen in the 1940's</t>
  </si>
  <si>
    <t>Input:</t>
  </si>
  <si>
    <t>Output:</t>
  </si>
  <si>
    <t>W</t>
  </si>
  <si>
    <t>Projected slit width at telescope focus</t>
  </si>
  <si>
    <t>metre</t>
  </si>
  <si>
    <t>mag lim</t>
  </si>
  <si>
    <t>D1</t>
  </si>
  <si>
    <t>Diameter of collimator lens</t>
  </si>
  <si>
    <t>Td</t>
  </si>
  <si>
    <t xml:space="preserve">Clear aperture of telescope </t>
  </si>
  <si>
    <t>g</t>
  </si>
  <si>
    <t>Optical efficiency</t>
  </si>
  <si>
    <t>Usually 0.1 to 0.5</t>
  </si>
  <si>
    <t>q</t>
  </si>
  <si>
    <t>Quantum efficiency of CCD</t>
  </si>
  <si>
    <t>t</t>
  </si>
  <si>
    <t>exposure (secs)</t>
  </si>
  <si>
    <t>sec</t>
  </si>
  <si>
    <t>(dλ/dθ)</t>
  </si>
  <si>
    <t>dispersion of grating</t>
  </si>
  <si>
    <t>m/rad</t>
  </si>
  <si>
    <t>(dλ/dθ), also = d2/R</t>
  </si>
  <si>
    <t>where d2 = exit beam reflected from the grating, R= Theoretical Resolving power</t>
  </si>
  <si>
    <t>f1</t>
  </si>
  <si>
    <t>focal length of collimator</t>
  </si>
  <si>
    <t>f2</t>
  </si>
  <si>
    <t>focal length of camera</t>
  </si>
  <si>
    <t>a</t>
  </si>
  <si>
    <t>star size (Rad)</t>
  </si>
  <si>
    <t>Rad</t>
  </si>
  <si>
    <t>(5 -20uRad = 1-4")</t>
  </si>
  <si>
    <t>H</t>
  </si>
  <si>
    <t>height of spectrum</t>
  </si>
  <si>
    <t>based on height of the spectrum ( height* pixel size)</t>
  </si>
  <si>
    <t>NB When slit is larger than star image, substitute Td= Td*Td,  ie magnitude proportional to Dt*Dt</t>
  </si>
  <si>
    <t>Comment:</t>
  </si>
  <si>
    <t>modified formula used:</t>
  </si>
  <si>
    <t>Example:</t>
  </si>
  <si>
    <t>1200 l/mm grating</t>
  </si>
  <si>
    <t>2" Seeing</t>
  </si>
  <si>
    <t>SNR=10</t>
  </si>
  <si>
    <t>Buil</t>
  </si>
  <si>
    <t xml:space="preserve">Modified </t>
  </si>
  <si>
    <t>Total Exposure (secs)</t>
  </si>
  <si>
    <t>Target Mag.</t>
  </si>
  <si>
    <t>Bowen Limiting mag.</t>
  </si>
  <si>
    <t>O5</t>
  </si>
  <si>
    <t>O7</t>
  </si>
  <si>
    <t>B0</t>
  </si>
  <si>
    <t>B1</t>
  </si>
  <si>
    <t>B2</t>
  </si>
  <si>
    <t>B3</t>
  </si>
  <si>
    <t>B5</t>
  </si>
  <si>
    <t>B7</t>
  </si>
  <si>
    <t>A0</t>
  </si>
  <si>
    <t>A5</t>
  </si>
  <si>
    <t>F0</t>
  </si>
  <si>
    <t>F5</t>
  </si>
  <si>
    <t>M2</t>
  </si>
  <si>
    <t>M4</t>
  </si>
  <si>
    <t>M5</t>
  </si>
  <si>
    <t>M8</t>
  </si>
  <si>
    <t>also, 1st Ed. P263</t>
  </si>
  <si>
    <t>&gt;45000</t>
  </si>
  <si>
    <t>&gt;40000</t>
  </si>
  <si>
    <t>See: "Stars and their Spectra" - Kaler, 1st Ed. p80-81</t>
  </si>
  <si>
    <t>MX7c</t>
  </si>
  <si>
    <t>Webcam</t>
  </si>
  <si>
    <t>ATik16c</t>
  </si>
  <si>
    <t>DMK41</t>
  </si>
  <si>
    <t>DSI II pro</t>
  </si>
  <si>
    <t>QHY5</t>
  </si>
  <si>
    <t>350D</t>
  </si>
  <si>
    <t>450D</t>
  </si>
  <si>
    <t>ATik16ic-S</t>
  </si>
  <si>
    <t>ATiK314L</t>
  </si>
  <si>
    <t>Lodestar</t>
  </si>
  <si>
    <t>1000D</t>
  </si>
  <si>
    <t>Typical CCD -Number Pixels (dispersion direction)/ pixel size (micron)</t>
  </si>
  <si>
    <t>ST7</t>
  </si>
  <si>
    <t>ST8</t>
  </si>
  <si>
    <t>ST10</t>
  </si>
  <si>
    <t>ST9</t>
  </si>
  <si>
    <t>SBIG 402ME</t>
  </si>
  <si>
    <t>STF 8300</t>
  </si>
  <si>
    <t>STL1100</t>
  </si>
  <si>
    <r>
      <t>m=</t>
    </r>
    <r>
      <rPr>
        <b/>
        <sz val="10"/>
        <color indexed="10"/>
        <rFont val="Arial"/>
        <family val="2"/>
      </rPr>
      <t>14.1</t>
    </r>
    <r>
      <rPr>
        <b/>
        <sz val="10"/>
        <rFont val="Arial"/>
        <family val="2"/>
      </rPr>
      <t xml:space="preserve"> + </t>
    </r>
    <r>
      <rPr>
        <b/>
        <sz val="10"/>
        <color indexed="10"/>
        <rFont val="Arial"/>
        <family val="2"/>
      </rPr>
      <t>1.2</t>
    </r>
    <r>
      <rPr>
        <b/>
        <sz val="10"/>
        <rFont val="Arial"/>
        <family val="2"/>
      </rPr>
      <t xml:space="preserve"> log(( W* D1* Td* g* q*</t>
    </r>
    <r>
      <rPr>
        <b/>
        <sz val="10"/>
        <color indexed="10"/>
        <rFont val="Arial"/>
        <family val="2"/>
      </rPr>
      <t>0.8</t>
    </r>
    <r>
      <rPr>
        <b/>
        <sz val="10"/>
        <rFont val="Arial"/>
        <family val="2"/>
      </rPr>
      <t>*t* (dλ/dθ)/(f1* f2* H* α))</t>
    </r>
  </si>
  <si>
    <t>1. Limiting magnitude should be based on a value close to SNR =10</t>
  </si>
  <si>
    <t>2. The number of subs used for the exposure has an impact on the S/N ratio ie more subs gives lower S/N - this aspect is not included in Bowen's formulae.</t>
  </si>
  <si>
    <t>3. The Bowen formula doesn't handle well the various Bolometric corrections or the changes in stellar temperature.</t>
  </si>
  <si>
    <t>Star size at focus (FWHM):</t>
  </si>
  <si>
    <t>http://www.nightwise.org/magnitudes.htm</t>
  </si>
  <si>
    <r>
      <t>SB0 = 22 - 5Log(10</t>
    </r>
    <r>
      <rPr>
        <vertAlign val="superscript"/>
        <sz val="12"/>
        <rFont val="Times New Roman"/>
        <family val="1"/>
      </rPr>
      <t>(1.7-LM/5)</t>
    </r>
    <r>
      <rPr>
        <sz val="12"/>
        <rFont val="Times New Roman"/>
        <family val="1"/>
      </rPr>
      <t xml:space="preserve">-1) as suggested by Jan van Gastel, based on the initial formula by Nils Olof </t>
    </r>
  </si>
  <si>
    <t>http://members.ziggo.nl/jhm.vangastel/Astronomy/visibility/PredictionTool.htm</t>
  </si>
  <si>
    <t>(Mag/arc  sec ^2)</t>
  </si>
  <si>
    <t>Perfect dark sky =22</t>
  </si>
  <si>
    <t>Rural conditions = 18</t>
  </si>
  <si>
    <t>Inner City Conditions = 16</t>
  </si>
  <si>
    <t>Plotting those formula's against data from Peter van Leuteren,</t>
  </si>
  <si>
    <t xml:space="preserve"> member of the the Dutch Meteor Society [based on over 500 observations], </t>
  </si>
  <si>
    <t xml:space="preserve"> it became apparent that the formula as suggested by Jan van Gastel matched the data best.</t>
  </si>
  <si>
    <t>Quote:</t>
  </si>
  <si>
    <t>Sky Background Brightness (SBO)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</si>
</sst>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"/>
    <numFmt numFmtId="174" formatCode="0.0000"/>
    <numFmt numFmtId="175" formatCode="0.00000000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0"/>
    <numFmt numFmtId="183" formatCode="0.000000000"/>
    <numFmt numFmtId="184" formatCode="0.0000000000"/>
    <numFmt numFmtId="185" formatCode="0.0000000000E+00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Symbol"/>
      <family val="1"/>
    </font>
    <font>
      <b/>
      <sz val="10"/>
      <color indexed="8"/>
      <name val="Tahoma"/>
      <family val="2"/>
    </font>
    <font>
      <u val="single"/>
      <sz val="10"/>
      <color indexed="12"/>
      <name val="Arial"/>
      <family val="2"/>
    </font>
    <font>
      <b/>
      <sz val="10"/>
      <color indexed="55"/>
      <name val="Arial"/>
      <family val="2"/>
    </font>
    <font>
      <sz val="10"/>
      <color indexed="22"/>
      <name val="Arial"/>
      <family val="2"/>
    </font>
    <font>
      <b/>
      <sz val="10"/>
      <color indexed="10"/>
      <name val="Symbol"/>
      <family val="1"/>
    </font>
    <font>
      <b/>
      <sz val="10"/>
      <color indexed="8"/>
      <name val="Arial"/>
      <family val="2"/>
    </font>
    <font>
      <sz val="10"/>
      <color indexed="10"/>
      <name val="Symbol"/>
      <family val="1"/>
    </font>
    <font>
      <i/>
      <sz val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53" fillId="38" borderId="1" applyNumberFormat="0" applyAlignment="0" applyProtection="0"/>
    <xf numFmtId="0" fontId="4" fillId="39" borderId="2" applyNumberFormat="0" applyAlignment="0" applyProtection="0"/>
    <xf numFmtId="0" fontId="54" fillId="0" borderId="3" applyNumberFormat="0" applyFill="0" applyAlignment="0" applyProtection="0"/>
    <xf numFmtId="0" fontId="5" fillId="40" borderId="4" applyNumberFormat="0" applyAlignment="0" applyProtection="0"/>
    <xf numFmtId="0" fontId="0" fillId="41" borderId="5" applyNumberFormat="0" applyFont="0" applyAlignment="0" applyProtection="0"/>
    <xf numFmtId="0" fontId="55" fillId="42" borderId="1" applyNumberFormat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56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44" borderId="0" applyNumberFormat="0" applyBorder="0" applyAlignment="0" applyProtection="0"/>
    <xf numFmtId="0" fontId="57" fillId="45" borderId="0" applyNumberFormat="0" applyBorder="0" applyAlignment="0" applyProtection="0"/>
    <xf numFmtId="0" fontId="0" fillId="46" borderId="10" applyNumberFormat="0" applyAlignment="0" applyProtection="0"/>
    <xf numFmtId="0" fontId="14" fillId="39" borderId="11" applyNumberFormat="0" applyAlignment="0" applyProtection="0"/>
    <xf numFmtId="9" fontId="0" fillId="0" borderId="0" applyFill="0" applyBorder="0" applyAlignment="0" applyProtection="0"/>
    <xf numFmtId="0" fontId="58" fillId="47" borderId="0" applyNumberFormat="0" applyBorder="0" applyAlignment="0" applyProtection="0"/>
    <xf numFmtId="0" fontId="59" fillId="38" borderId="12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65" fillId="48" borderId="17" applyNumberFormat="0" applyAlignment="0" applyProtection="0"/>
    <xf numFmtId="0" fontId="17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right"/>
    </xf>
    <xf numFmtId="17" fontId="1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0" fillId="23" borderId="18" xfId="0" applyFill="1" applyBorder="1" applyAlignment="1">
      <alignment/>
    </xf>
    <xf numFmtId="0" fontId="22" fillId="49" borderId="0" xfId="0" applyFont="1" applyFill="1" applyAlignment="1">
      <alignment horizontal="center"/>
    </xf>
    <xf numFmtId="0" fontId="0" fillId="0" borderId="19" xfId="0" applyFont="1" applyBorder="1" applyAlignment="1">
      <alignment horizontal="left"/>
    </xf>
    <xf numFmtId="0" fontId="0" fillId="23" borderId="2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19" xfId="0" applyFont="1" applyBorder="1" applyAlignment="1">
      <alignment horizontal="left"/>
    </xf>
    <xf numFmtId="0" fontId="0" fillId="23" borderId="20" xfId="0" applyFill="1" applyBorder="1" applyAlignment="1">
      <alignment/>
    </xf>
    <xf numFmtId="0" fontId="0" fillId="0" borderId="21" xfId="0" applyFont="1" applyBorder="1" applyAlignment="1">
      <alignment horizontal="left"/>
    </xf>
    <xf numFmtId="0" fontId="0" fillId="23" borderId="22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23" borderId="22" xfId="0" applyFill="1" applyBorder="1" applyAlignment="1">
      <alignment/>
    </xf>
    <xf numFmtId="0" fontId="25" fillId="0" borderId="21" xfId="0" applyFont="1" applyBorder="1" applyAlignment="1">
      <alignment horizontal="right"/>
    </xf>
    <xf numFmtId="172" fontId="25" fillId="0" borderId="22" xfId="0" applyNumberFormat="1" applyFont="1" applyFill="1" applyBorder="1" applyAlignment="1" applyProtection="1">
      <alignment/>
      <protection/>
    </xf>
    <xf numFmtId="0" fontId="25" fillId="0" borderId="0" xfId="0" applyFont="1" applyBorder="1" applyAlignment="1">
      <alignment/>
    </xf>
    <xf numFmtId="172" fontId="25" fillId="0" borderId="22" xfId="0" applyNumberFormat="1" applyFont="1" applyFill="1" applyBorder="1" applyAlignment="1">
      <alignment/>
    </xf>
    <xf numFmtId="0" fontId="25" fillId="0" borderId="21" xfId="0" applyFont="1" applyFill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0" fillId="23" borderId="24" xfId="0" applyFont="1" applyFill="1" applyBorder="1" applyAlignment="1">
      <alignment/>
    </xf>
    <xf numFmtId="0" fontId="0" fillId="23" borderId="24" xfId="0" applyFill="1" applyBorder="1" applyAlignment="1">
      <alignment/>
    </xf>
    <xf numFmtId="0" fontId="0" fillId="0" borderId="0" xfId="0" applyAlignment="1">
      <alignment horizontal="right"/>
    </xf>
    <xf numFmtId="0" fontId="22" fillId="0" borderId="0" xfId="0" applyFont="1" applyFill="1" applyBorder="1" applyAlignment="1">
      <alignment/>
    </xf>
    <xf numFmtId="172" fontId="0" fillId="0" borderId="0" xfId="0" applyNumberFormat="1" applyFill="1" applyAlignment="1">
      <alignment/>
    </xf>
    <xf numFmtId="0" fontId="19" fillId="0" borderId="23" xfId="0" applyFont="1" applyFill="1" applyBorder="1" applyAlignment="1">
      <alignment horizontal="right"/>
    </xf>
    <xf numFmtId="2" fontId="19" fillId="0" borderId="24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19" fillId="0" borderId="23" xfId="0" applyFont="1" applyBorder="1" applyAlignment="1">
      <alignment horizontal="right"/>
    </xf>
    <xf numFmtId="0" fontId="19" fillId="0" borderId="24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2" fillId="0" borderId="0" xfId="0" applyFont="1" applyAlignment="1">
      <alignment horizontal="left"/>
    </xf>
    <xf numFmtId="0" fontId="0" fillId="0" borderId="25" xfId="0" applyFont="1" applyBorder="1" applyAlignment="1">
      <alignment horizontal="left"/>
    </xf>
    <xf numFmtId="0" fontId="0" fillId="23" borderId="26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0" xfId="0" applyFont="1" applyBorder="1" applyAlignment="1">
      <alignment/>
    </xf>
    <xf numFmtId="0" fontId="23" fillId="23" borderId="20" xfId="0" applyFont="1" applyFill="1" applyBorder="1" applyAlignment="1">
      <alignment/>
    </xf>
    <xf numFmtId="0" fontId="30" fillId="0" borderId="21" xfId="73" applyNumberFormat="1" applyFont="1" applyFill="1" applyBorder="1" applyAlignment="1" applyProtection="1">
      <alignment/>
      <protection/>
    </xf>
    <xf numFmtId="0" fontId="25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4" xfId="0" applyBorder="1" applyAlignment="1">
      <alignment/>
    </xf>
    <xf numFmtId="0" fontId="31" fillId="0" borderId="0" xfId="0" applyFont="1" applyAlignment="1">
      <alignment/>
    </xf>
    <xf numFmtId="0" fontId="0" fillId="0" borderId="0" xfId="0" applyFill="1" applyBorder="1" applyAlignment="1">
      <alignment/>
    </xf>
    <xf numFmtId="0" fontId="32" fillId="0" borderId="0" xfId="0" applyFont="1" applyFill="1" applyAlignment="1">
      <alignment horizontal="right"/>
    </xf>
    <xf numFmtId="0" fontId="32" fillId="0" borderId="0" xfId="0" applyFont="1" applyFill="1" applyAlignment="1">
      <alignment/>
    </xf>
    <xf numFmtId="0" fontId="19" fillId="0" borderId="21" xfId="0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" fontId="19" fillId="0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5" fillId="0" borderId="23" xfId="0" applyFont="1" applyFill="1" applyBorder="1" applyAlignment="1">
      <alignment horizontal="right"/>
    </xf>
    <xf numFmtId="172" fontId="25" fillId="0" borderId="24" xfId="0" applyNumberFormat="1" applyFont="1" applyFill="1" applyBorder="1" applyAlignment="1">
      <alignment/>
    </xf>
    <xf numFmtId="0" fontId="19" fillId="0" borderId="25" xfId="0" applyFont="1" applyFill="1" applyBorder="1" applyAlignment="1">
      <alignment horizontal="right"/>
    </xf>
    <xf numFmtId="1" fontId="19" fillId="0" borderId="26" xfId="0" applyNumberFormat="1" applyFont="1" applyFill="1" applyBorder="1" applyAlignment="1">
      <alignment/>
    </xf>
    <xf numFmtId="1" fontId="25" fillId="0" borderId="22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" fontId="19" fillId="0" borderId="24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2" fontId="0" fillId="0" borderId="22" xfId="0" applyNumberFormat="1" applyFill="1" applyBorder="1" applyAlignment="1">
      <alignment/>
    </xf>
    <xf numFmtId="1" fontId="0" fillId="0" borderId="22" xfId="0" applyNumberFormat="1" applyFill="1" applyBorder="1" applyAlignment="1">
      <alignment/>
    </xf>
    <xf numFmtId="0" fontId="25" fillId="0" borderId="22" xfId="0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0" borderId="21" xfId="0" applyFont="1" applyBorder="1" applyAlignment="1">
      <alignment horizontal="right"/>
    </xf>
    <xf numFmtId="1" fontId="36" fillId="0" borderId="22" xfId="0" applyNumberFormat="1" applyFont="1" applyBorder="1" applyAlignment="1">
      <alignment/>
    </xf>
    <xf numFmtId="0" fontId="36" fillId="0" borderId="23" xfId="0" applyFont="1" applyBorder="1" applyAlignment="1">
      <alignment horizontal="right"/>
    </xf>
    <xf numFmtId="1" fontId="36" fillId="0" borderId="24" xfId="0" applyNumberFormat="1" applyFont="1" applyBorder="1" applyAlignment="1">
      <alignment/>
    </xf>
    <xf numFmtId="0" fontId="23" fillId="49" borderId="21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32" fillId="0" borderId="18" xfId="0" applyFont="1" applyBorder="1" applyAlignment="1">
      <alignment/>
    </xf>
    <xf numFmtId="0" fontId="30" fillId="0" borderId="0" xfId="73" applyNumberFormat="1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0" fontId="23" fillId="0" borderId="19" xfId="0" applyFont="1" applyBorder="1" applyAlignment="1">
      <alignment/>
    </xf>
    <xf numFmtId="0" fontId="23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22" xfId="0" applyBorder="1" applyAlignment="1">
      <alignment/>
    </xf>
    <xf numFmtId="0" fontId="23" fillId="0" borderId="23" xfId="0" applyFont="1" applyBorder="1" applyAlignment="1">
      <alignment/>
    </xf>
    <xf numFmtId="0" fontId="2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22" borderId="0" xfId="0" applyFont="1" applyFill="1" applyAlignment="1">
      <alignment/>
    </xf>
    <xf numFmtId="173" fontId="0" fillId="22" borderId="0" xfId="0" applyNumberFormat="1" applyFill="1" applyAlignment="1">
      <alignment/>
    </xf>
    <xf numFmtId="0" fontId="23" fillId="11" borderId="25" xfId="0" applyFont="1" applyFill="1" applyBorder="1" applyAlignment="1">
      <alignment/>
    </xf>
    <xf numFmtId="2" fontId="23" fillId="11" borderId="26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4" fontId="0" fillId="22" borderId="0" xfId="0" applyNumberFormat="1" applyFill="1" applyAlignment="1">
      <alignment/>
    </xf>
    <xf numFmtId="2" fontId="0" fillId="22" borderId="0" xfId="0" applyNumberFormat="1" applyFill="1" applyAlignment="1">
      <alignment/>
    </xf>
    <xf numFmtId="175" fontId="0" fillId="22" borderId="0" xfId="0" applyNumberFormat="1" applyFill="1" applyAlignment="1">
      <alignment/>
    </xf>
    <xf numFmtId="175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76" fontId="0" fillId="22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" fontId="0" fillId="0" borderId="29" xfId="0" applyNumberFormat="1" applyFont="1" applyBorder="1" applyAlignment="1">
      <alignment wrapText="1"/>
    </xf>
    <xf numFmtId="2" fontId="0" fillId="0" borderId="29" xfId="0" applyNumberFormat="1" applyBorder="1" applyAlignment="1">
      <alignment/>
    </xf>
    <xf numFmtId="0" fontId="0" fillId="0" borderId="30" xfId="0" applyFont="1" applyBorder="1" applyAlignment="1">
      <alignment wrapText="1"/>
    </xf>
    <xf numFmtId="2" fontId="0" fillId="0" borderId="31" xfId="0" applyNumberFormat="1" applyFont="1" applyBorder="1" applyAlignment="1">
      <alignment wrapText="1"/>
    </xf>
    <xf numFmtId="2" fontId="0" fillId="0" borderId="32" xfId="0" applyNumberFormat="1" applyFont="1" applyBorder="1" applyAlignment="1">
      <alignment wrapText="1"/>
    </xf>
    <xf numFmtId="0" fontId="0" fillId="0" borderId="33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33" xfId="0" applyBorder="1" applyAlignment="1">
      <alignment wrapText="1"/>
    </xf>
    <xf numFmtId="2" fontId="0" fillId="0" borderId="34" xfId="0" applyNumberFormat="1" applyFont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5" xfId="0" applyBorder="1" applyAlignment="1">
      <alignment wrapText="1"/>
    </xf>
    <xf numFmtId="2" fontId="0" fillId="0" borderId="36" xfId="0" applyNumberFormat="1" applyFont="1" applyBorder="1" applyAlignment="1">
      <alignment wrapText="1"/>
    </xf>
    <xf numFmtId="2" fontId="0" fillId="0" borderId="37" xfId="0" applyNumberFormat="1" applyFont="1" applyBorder="1" applyAlignment="1">
      <alignment wrapText="1"/>
    </xf>
    <xf numFmtId="0" fontId="23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7" fillId="0" borderId="0" xfId="0" applyFont="1" applyFill="1" applyAlignment="1">
      <alignment/>
    </xf>
    <xf numFmtId="0" fontId="37" fillId="50" borderId="0" xfId="0" applyFont="1" applyFill="1" applyAlignment="1">
      <alignment/>
    </xf>
    <xf numFmtId="0" fontId="37" fillId="51" borderId="0" xfId="0" applyFont="1" applyFill="1" applyAlignment="1">
      <alignment/>
    </xf>
    <xf numFmtId="0" fontId="0" fillId="50" borderId="0" xfId="0" applyFill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0" xfId="0" applyAlignment="1" applyProtection="1">
      <alignment readingOrder="1"/>
      <protection locked="0"/>
    </xf>
    <xf numFmtId="0" fontId="0" fillId="0" borderId="42" xfId="0" applyBorder="1" applyAlignment="1">
      <alignment horizontal="left"/>
    </xf>
    <xf numFmtId="0" fontId="0" fillId="0" borderId="48" xfId="0" applyBorder="1" applyAlignment="1">
      <alignment horizontal="left"/>
    </xf>
    <xf numFmtId="0" fontId="22" fillId="52" borderId="49" xfId="0" applyFont="1" applyFill="1" applyBorder="1" applyAlignment="1">
      <alignment horizontal="center"/>
    </xf>
    <xf numFmtId="0" fontId="23" fillId="52" borderId="50" xfId="0" applyFont="1" applyFill="1" applyBorder="1" applyAlignment="1">
      <alignment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23" fillId="0" borderId="54" xfId="0" applyFont="1" applyBorder="1" applyAlignment="1">
      <alignment/>
    </xf>
    <xf numFmtId="0" fontId="22" fillId="53" borderId="0" xfId="0" applyFont="1" applyFill="1" applyAlignment="1">
      <alignment horizontal="center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right"/>
    </xf>
    <xf numFmtId="0" fontId="0" fillId="0" borderId="54" xfId="0" applyFill="1" applyBorder="1" applyAlignment="1">
      <alignment horizontal="right"/>
    </xf>
    <xf numFmtId="0" fontId="0" fillId="0" borderId="55" xfId="0" applyBorder="1" applyAlignment="1">
      <alignment/>
    </xf>
    <xf numFmtId="0" fontId="0" fillId="0" borderId="54" xfId="0" applyFill="1" applyBorder="1" applyAlignment="1">
      <alignment/>
    </xf>
    <xf numFmtId="0" fontId="0" fillId="0" borderId="5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57" xfId="0" applyFill="1" applyBorder="1" applyAlignment="1">
      <alignment horizontal="right"/>
    </xf>
    <xf numFmtId="0" fontId="0" fillId="0" borderId="57" xfId="0" applyFill="1" applyBorder="1" applyAlignment="1">
      <alignment/>
    </xf>
    <xf numFmtId="0" fontId="0" fillId="0" borderId="58" xfId="0" applyBorder="1" applyAlignment="1">
      <alignment horizontal="center"/>
    </xf>
    <xf numFmtId="0" fontId="0" fillId="0" borderId="59" xfId="0" applyFill="1" applyBorder="1" applyAlignment="1">
      <alignment/>
    </xf>
    <xf numFmtId="0" fontId="22" fillId="50" borderId="0" xfId="0" applyFont="1" applyFill="1" applyAlignment="1">
      <alignment/>
    </xf>
    <xf numFmtId="0" fontId="23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56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57" xfId="0" applyBorder="1" applyAlignment="1">
      <alignment/>
    </xf>
    <xf numFmtId="0" fontId="0" fillId="0" borderId="56" xfId="0" applyFill="1" applyBorder="1" applyAlignment="1">
      <alignment horizontal="center" wrapText="1"/>
    </xf>
    <xf numFmtId="0" fontId="23" fillId="50" borderId="0" xfId="0" applyFont="1" applyFill="1" applyAlignment="1">
      <alignment/>
    </xf>
    <xf numFmtId="0" fontId="0" fillId="0" borderId="61" xfId="0" applyBorder="1" applyAlignment="1">
      <alignment/>
    </xf>
    <xf numFmtId="2" fontId="0" fillId="0" borderId="42" xfId="0" applyNumberFormat="1" applyBorder="1" applyAlignment="1">
      <alignment/>
    </xf>
    <xf numFmtId="0" fontId="32" fillId="0" borderId="62" xfId="0" applyFont="1" applyBorder="1" applyAlignment="1">
      <alignment/>
    </xf>
    <xf numFmtId="2" fontId="0" fillId="0" borderId="4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53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23" borderId="54" xfId="0" applyFill="1" applyBorder="1" applyAlignment="1">
      <alignment/>
    </xf>
    <xf numFmtId="0" fontId="0" fillId="0" borderId="56" xfId="0" applyFont="1" applyBorder="1" applyAlignment="1">
      <alignment horizontal="left"/>
    </xf>
    <xf numFmtId="0" fontId="0" fillId="23" borderId="57" xfId="0" applyFill="1" applyBorder="1" applyAlignment="1">
      <alignment/>
    </xf>
    <xf numFmtId="0" fontId="0" fillId="0" borderId="58" xfId="0" applyBorder="1" applyAlignment="1">
      <alignment/>
    </xf>
    <xf numFmtId="0" fontId="19" fillId="0" borderId="63" xfId="0" applyFont="1" applyBorder="1" applyAlignment="1">
      <alignment horizontal="right"/>
    </xf>
    <xf numFmtId="172" fontId="19" fillId="0" borderId="59" xfId="0" applyNumberFormat="1" applyFont="1" applyFill="1" applyBorder="1" applyAlignment="1">
      <alignment/>
    </xf>
    <xf numFmtId="0" fontId="0" fillId="0" borderId="53" xfId="0" applyBorder="1" applyAlignment="1">
      <alignment/>
    </xf>
    <xf numFmtId="0" fontId="25" fillId="0" borderId="64" xfId="0" applyFont="1" applyFill="1" applyBorder="1" applyAlignment="1">
      <alignment horizontal="right"/>
    </xf>
    <xf numFmtId="2" fontId="25" fillId="0" borderId="54" xfId="0" applyNumberFormat="1" applyFont="1" applyFill="1" applyBorder="1" applyAlignment="1">
      <alignment/>
    </xf>
    <xf numFmtId="0" fontId="0" fillId="0" borderId="56" xfId="0" applyBorder="1" applyAlignment="1">
      <alignment/>
    </xf>
    <xf numFmtId="2" fontId="25" fillId="0" borderId="57" xfId="0" applyNumberFormat="1" applyFont="1" applyFill="1" applyBorder="1" applyAlignment="1">
      <alignment/>
    </xf>
    <xf numFmtId="0" fontId="25" fillId="0" borderId="63" xfId="0" applyFont="1" applyFill="1" applyBorder="1" applyAlignment="1">
      <alignment horizontal="right"/>
    </xf>
    <xf numFmtId="2" fontId="25" fillId="0" borderId="5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3" fillId="0" borderId="58" xfId="0" applyFont="1" applyBorder="1" applyAlignment="1">
      <alignment horizontal="left"/>
    </xf>
    <xf numFmtId="0" fontId="23" fillId="23" borderId="59" xfId="0" applyFont="1" applyFill="1" applyBorder="1" applyAlignment="1">
      <alignment/>
    </xf>
    <xf numFmtId="0" fontId="25" fillId="0" borderId="56" xfId="0" applyFont="1" applyFill="1" applyBorder="1" applyAlignment="1">
      <alignment horizontal="right"/>
    </xf>
    <xf numFmtId="172" fontId="25" fillId="0" borderId="57" xfId="0" applyNumberFormat="1" applyFont="1" applyFill="1" applyBorder="1" applyAlignment="1">
      <alignment/>
    </xf>
    <xf numFmtId="0" fontId="0" fillId="0" borderId="58" xfId="0" applyFont="1" applyBorder="1" applyAlignment="1">
      <alignment horizontal="left"/>
    </xf>
    <xf numFmtId="0" fontId="34" fillId="54" borderId="65" xfId="0" applyFont="1" applyFill="1" applyBorder="1" applyAlignment="1">
      <alignment horizontal="left"/>
    </xf>
    <xf numFmtId="1" fontId="23" fillId="54" borderId="66" xfId="0" applyNumberFormat="1" applyFont="1" applyFill="1" applyBorder="1" applyAlignment="1">
      <alignment/>
    </xf>
    <xf numFmtId="0" fontId="34" fillId="54" borderId="67" xfId="0" applyFont="1" applyFill="1" applyBorder="1" applyAlignment="1">
      <alignment horizontal="left"/>
    </xf>
    <xf numFmtId="1" fontId="23" fillId="54" borderId="68" xfId="0" applyNumberFormat="1" applyFont="1" applyFill="1" applyBorder="1" applyAlignment="1">
      <alignment/>
    </xf>
    <xf numFmtId="2" fontId="23" fillId="54" borderId="68" xfId="0" applyNumberFormat="1" applyFont="1" applyFill="1" applyBorder="1" applyAlignment="1">
      <alignment/>
    </xf>
    <xf numFmtId="172" fontId="23" fillId="54" borderId="68" xfId="0" applyNumberFormat="1" applyFont="1" applyFill="1" applyBorder="1" applyAlignment="1">
      <alignment/>
    </xf>
    <xf numFmtId="0" fontId="23" fillId="54" borderId="67" xfId="0" applyFont="1" applyFill="1" applyBorder="1" applyAlignment="1">
      <alignment horizontal="left"/>
    </xf>
    <xf numFmtId="0" fontId="23" fillId="54" borderId="68" xfId="0" applyFont="1" applyFill="1" applyBorder="1" applyAlignment="1">
      <alignment/>
    </xf>
    <xf numFmtId="0" fontId="37" fillId="53" borderId="0" xfId="0" applyFont="1" applyFill="1" applyAlignment="1">
      <alignment horizontal="center"/>
    </xf>
    <xf numFmtId="0" fontId="42" fillId="50" borderId="0" xfId="0" applyFont="1" applyFill="1" applyAlignment="1">
      <alignment/>
    </xf>
    <xf numFmtId="0" fontId="42" fillId="0" borderId="0" xfId="0" applyFont="1" applyAlignment="1">
      <alignment/>
    </xf>
    <xf numFmtId="0" fontId="23" fillId="0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22" fillId="55" borderId="0" xfId="0" applyFont="1" applyFill="1" applyAlignment="1">
      <alignment/>
    </xf>
    <xf numFmtId="0" fontId="37" fillId="0" borderId="0" xfId="0" applyFont="1" applyAlignment="1">
      <alignment/>
    </xf>
    <xf numFmtId="0" fontId="43" fillId="0" borderId="0" xfId="0" applyFont="1" applyAlignment="1">
      <alignment/>
    </xf>
    <xf numFmtId="0" fontId="0" fillId="50" borderId="0" xfId="0" applyFill="1" applyBorder="1" applyAlignment="1" applyProtection="1">
      <alignment/>
      <protection locked="0"/>
    </xf>
    <xf numFmtId="0" fontId="22" fillId="50" borderId="0" xfId="0" applyFont="1" applyFill="1" applyAlignment="1">
      <alignment horizontal="right"/>
    </xf>
    <xf numFmtId="0" fontId="34" fillId="54" borderId="69" xfId="0" applyFont="1" applyFill="1" applyBorder="1" applyAlignment="1">
      <alignment horizontal="left"/>
    </xf>
    <xf numFmtId="1" fontId="23" fillId="54" borderId="70" xfId="0" applyNumberFormat="1" applyFont="1" applyFill="1" applyBorder="1" applyAlignment="1">
      <alignment/>
    </xf>
    <xf numFmtId="0" fontId="25" fillId="0" borderId="25" xfId="0" applyFont="1" applyFill="1" applyBorder="1" applyAlignment="1">
      <alignment horizontal="right"/>
    </xf>
    <xf numFmtId="2" fontId="25" fillId="0" borderId="26" xfId="0" applyNumberFormat="1" applyFont="1" applyFill="1" applyBorder="1" applyAlignment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Border="1" applyAlignment="1">
      <alignment/>
    </xf>
    <xf numFmtId="11" fontId="0" fillId="0" borderId="20" xfId="0" applyNumberFormat="1" applyFill="1" applyBorder="1" applyAlignment="1">
      <alignment/>
    </xf>
    <xf numFmtId="11" fontId="0" fillId="0" borderId="22" xfId="0" applyNumberFormat="1" applyFill="1" applyBorder="1" applyAlignment="1">
      <alignment/>
    </xf>
    <xf numFmtId="0" fontId="0" fillId="56" borderId="20" xfId="0" applyFill="1" applyBorder="1" applyAlignment="1">
      <alignment/>
    </xf>
    <xf numFmtId="0" fontId="0" fillId="56" borderId="24" xfId="0" applyFill="1" applyBorder="1" applyAlignment="1">
      <alignment/>
    </xf>
    <xf numFmtId="0" fontId="0" fillId="56" borderId="54" xfId="0" applyFill="1" applyBorder="1" applyAlignment="1">
      <alignment/>
    </xf>
    <xf numFmtId="0" fontId="0" fillId="56" borderId="57" xfId="0" applyFill="1" applyBorder="1" applyAlignment="1">
      <alignment/>
    </xf>
    <xf numFmtId="0" fontId="0" fillId="56" borderId="59" xfId="0" applyFill="1" applyBorder="1" applyAlignment="1">
      <alignment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</cellXfs>
  <cellStyles count="8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nsatisfaisant" xfId="72"/>
    <cellStyle name="Hyperlink" xfId="73"/>
    <cellStyle name="Followed Hyperlink" xfId="74"/>
    <cellStyle name="Linked Cell" xfId="75"/>
    <cellStyle name="Comma" xfId="76"/>
    <cellStyle name="Comma [0]" xfId="77"/>
    <cellStyle name="Currency" xfId="78"/>
    <cellStyle name="Currency [0]" xfId="79"/>
    <cellStyle name="Neutral" xfId="80"/>
    <cellStyle name="Neutre" xfId="81"/>
    <cellStyle name="Note" xfId="82"/>
    <cellStyle name="Output" xfId="83"/>
    <cellStyle name="Percent" xfId="84"/>
    <cellStyle name="Satisfaisant" xfId="85"/>
    <cellStyle name="Sortie" xfId="86"/>
    <cellStyle name="Texte explicatif" xfId="87"/>
    <cellStyle name="Title" xfId="88"/>
    <cellStyle name="Titre" xfId="89"/>
    <cellStyle name="Titre 1" xfId="90"/>
    <cellStyle name="Titre 2" xfId="91"/>
    <cellStyle name="Titre 3" xfId="92"/>
    <cellStyle name="Titre 4" xfId="93"/>
    <cellStyle name="Total" xfId="94"/>
    <cellStyle name="Vérification" xfId="95"/>
    <cellStyle name="Warning Text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osurf.org/buil/us/stage/calcul/design_us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cha.de/astro_article_ccd_sortable_compare.ph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85" zoomScaleNormal="85" zoomScalePageLayoutView="0" workbookViewId="0" topLeftCell="A9">
      <selection activeCell="D27" sqref="D27"/>
    </sheetView>
  </sheetViews>
  <sheetFormatPr defaultColWidth="11.421875" defaultRowHeight="12.75"/>
  <cols>
    <col min="1" max="1" width="23.140625" style="0" customWidth="1"/>
    <col min="2" max="2" width="6.28125" style="0" customWidth="1"/>
    <col min="3" max="3" width="7.140625" style="0" customWidth="1"/>
    <col min="4" max="4" width="10.140625" style="0" customWidth="1"/>
    <col min="5" max="5" width="4.28125" style="0" customWidth="1"/>
    <col min="6" max="6" width="39.140625" style="0" customWidth="1"/>
    <col min="7" max="7" width="6.421875" style="0" customWidth="1"/>
    <col min="8" max="8" width="7.7109375" style="0" customWidth="1"/>
    <col min="9" max="9" width="3.421875" style="0" customWidth="1"/>
    <col min="10" max="10" width="27.00390625" style="0" customWidth="1"/>
    <col min="11" max="11" width="10.00390625" style="0" customWidth="1"/>
    <col min="12" max="12" width="9.28125" style="0" customWidth="1"/>
    <col min="13" max="13" width="8.00390625" style="0" customWidth="1"/>
    <col min="14" max="14" width="6.28125" style="0" customWidth="1"/>
  </cols>
  <sheetData>
    <row r="1" spans="1:11" ht="15.75">
      <c r="A1" s="1" t="s">
        <v>0</v>
      </c>
      <c r="B1" s="1"/>
      <c r="F1" s="2"/>
      <c r="J1" s="3" t="s">
        <v>1</v>
      </c>
      <c r="K1" s="4">
        <v>41003</v>
      </c>
    </row>
    <row r="2" spans="1:13" ht="15.75">
      <c r="A2" s="1"/>
      <c r="B2" s="1"/>
      <c r="F2" s="214"/>
      <c r="M2" s="5"/>
    </row>
    <row r="3" spans="1:13" ht="15.75">
      <c r="A3" s="6" t="s">
        <v>2</v>
      </c>
      <c r="B3" s="6"/>
      <c r="D3" s="7"/>
      <c r="M3" s="5"/>
    </row>
    <row r="4" spans="1:13" ht="15.75">
      <c r="A4" s="6"/>
      <c r="B4" s="6"/>
      <c r="M4" s="5"/>
    </row>
    <row r="5" spans="1:17" ht="15.75">
      <c r="A5" s="208" t="s">
        <v>3</v>
      </c>
      <c r="B5" s="208"/>
      <c r="C5" s="209"/>
      <c r="D5" s="210"/>
      <c r="E5" s="210"/>
      <c r="F5" s="208" t="s">
        <v>4</v>
      </c>
      <c r="G5" s="209"/>
      <c r="H5" s="210"/>
      <c r="I5" s="210"/>
      <c r="J5" s="208" t="s">
        <v>5</v>
      </c>
      <c r="K5" s="209"/>
      <c r="Q5" s="48" t="s">
        <v>60</v>
      </c>
    </row>
    <row r="6" spans="1:18" ht="12.75">
      <c r="A6" s="9" t="s">
        <v>6</v>
      </c>
      <c r="B6" s="174"/>
      <c r="C6" s="10">
        <v>350</v>
      </c>
      <c r="D6" s="5" t="s">
        <v>7</v>
      </c>
      <c r="E6" s="5"/>
      <c r="F6" s="11" t="s">
        <v>8</v>
      </c>
      <c r="J6" s="12" t="s">
        <v>9</v>
      </c>
      <c r="K6" s="13">
        <v>6.45</v>
      </c>
      <c r="L6" s="5" t="s">
        <v>10</v>
      </c>
      <c r="Q6" s="50">
        <v>0</v>
      </c>
      <c r="R6" s="51">
        <v>0</v>
      </c>
    </row>
    <row r="7" spans="1:18" ht="12.75">
      <c r="A7" s="14" t="s">
        <v>11</v>
      </c>
      <c r="B7" s="175"/>
      <c r="C7" s="15">
        <v>3500</v>
      </c>
      <c r="D7" s="5" t="s">
        <v>7</v>
      </c>
      <c r="E7" s="5"/>
      <c r="F7" s="16" t="s">
        <v>12</v>
      </c>
      <c r="G7" s="226">
        <v>200</v>
      </c>
      <c r="H7" s="5" t="s">
        <v>7</v>
      </c>
      <c r="I7" s="5"/>
      <c r="J7" s="14" t="s">
        <v>13</v>
      </c>
      <c r="K7" s="17">
        <v>1360</v>
      </c>
      <c r="L7" s="5"/>
      <c r="Q7" s="50">
        <v>0.05</v>
      </c>
      <c r="R7" s="51">
        <v>0.05</v>
      </c>
    </row>
    <row r="8" spans="2:18" ht="12.75">
      <c r="B8" s="18" t="s">
        <v>14</v>
      </c>
      <c r="C8" s="19">
        <f>C7/C6</f>
        <v>10</v>
      </c>
      <c r="D8" s="20"/>
      <c r="E8" s="20"/>
      <c r="F8" s="18" t="s">
        <v>15</v>
      </c>
      <c r="G8" s="21">
        <f>C8</f>
        <v>10</v>
      </c>
      <c r="H8" s="5"/>
      <c r="I8" s="5"/>
      <c r="J8" s="14" t="s">
        <v>16</v>
      </c>
      <c r="K8" s="17">
        <v>54</v>
      </c>
      <c r="L8" s="5" t="s">
        <v>17</v>
      </c>
      <c r="Q8" s="51">
        <v>0.1</v>
      </c>
      <c r="R8" s="51">
        <v>0.09</v>
      </c>
    </row>
    <row r="9" spans="1:18" ht="12.75">
      <c r="A9" s="14" t="s">
        <v>18</v>
      </c>
      <c r="B9" s="175"/>
      <c r="C9" s="15">
        <v>0.3</v>
      </c>
      <c r="D9" s="5"/>
      <c r="E9" s="5"/>
      <c r="F9" s="22" t="s">
        <v>19</v>
      </c>
      <c r="G9" s="21">
        <f>C6*G7/C7</f>
        <v>20</v>
      </c>
      <c r="H9" s="5" t="s">
        <v>7</v>
      </c>
      <c r="I9" s="5"/>
      <c r="J9" s="14" t="s">
        <v>20</v>
      </c>
      <c r="K9" s="17">
        <v>7</v>
      </c>
      <c r="L9" s="5" t="s">
        <v>21</v>
      </c>
      <c r="Q9" s="51">
        <v>0.15</v>
      </c>
      <c r="R9" s="51">
        <v>0.14</v>
      </c>
    </row>
    <row r="10" spans="1:18" ht="12.75">
      <c r="A10" s="23" t="s">
        <v>22</v>
      </c>
      <c r="B10" s="176"/>
      <c r="C10" s="24">
        <v>0.92</v>
      </c>
      <c r="D10" s="5"/>
      <c r="E10" s="5"/>
      <c r="F10" s="23" t="s">
        <v>23</v>
      </c>
      <c r="G10" s="227">
        <v>15</v>
      </c>
      <c r="H10" s="5" t="s">
        <v>10</v>
      </c>
      <c r="I10" s="5"/>
      <c r="J10" s="14" t="s">
        <v>24</v>
      </c>
      <c r="K10" s="17">
        <v>0.1</v>
      </c>
      <c r="L10" s="5" t="s">
        <v>25</v>
      </c>
      <c r="Q10" s="51">
        <v>0.2</v>
      </c>
      <c r="R10" s="51">
        <v>0.19</v>
      </c>
    </row>
    <row r="11" spans="1:18" ht="12.75">
      <c r="A11" s="26"/>
      <c r="B11" s="26"/>
      <c r="E11" s="5"/>
      <c r="F11" s="27" t="s">
        <v>26</v>
      </c>
      <c r="G11" s="28"/>
      <c r="J11" s="14" t="s">
        <v>27</v>
      </c>
      <c r="K11" s="17">
        <v>2</v>
      </c>
      <c r="L11" s="5"/>
      <c r="Q11" s="51">
        <v>0.25</v>
      </c>
      <c r="R11" s="51">
        <v>0.23</v>
      </c>
    </row>
    <row r="12" spans="1:18" ht="12.75">
      <c r="A12" s="148" t="s">
        <v>28</v>
      </c>
      <c r="B12" s="148"/>
      <c r="C12" s="135"/>
      <c r="F12" s="178" t="s">
        <v>29</v>
      </c>
      <c r="G12" s="228">
        <v>200</v>
      </c>
      <c r="H12" s="5" t="s">
        <v>7</v>
      </c>
      <c r="I12" s="5"/>
      <c r="J12" s="14" t="s">
        <v>30</v>
      </c>
      <c r="K12" s="17">
        <v>2</v>
      </c>
      <c r="L12" s="5"/>
      <c r="Q12" s="51">
        <v>0.3</v>
      </c>
      <c r="R12" s="51">
        <v>0.28</v>
      </c>
    </row>
    <row r="13" spans="1:18" ht="12.75">
      <c r="A13" s="178" t="s">
        <v>31</v>
      </c>
      <c r="B13" s="179"/>
      <c r="C13" s="180">
        <v>3</v>
      </c>
      <c r="D13" s="5" t="s">
        <v>32</v>
      </c>
      <c r="E13" s="5"/>
      <c r="F13" s="181" t="s">
        <v>33</v>
      </c>
      <c r="G13" s="229">
        <v>30</v>
      </c>
      <c r="H13" s="5" t="s">
        <v>7</v>
      </c>
      <c r="I13" s="5"/>
      <c r="J13" s="29" t="s">
        <v>34</v>
      </c>
      <c r="K13" s="30">
        <f>C40/K6/K11</f>
        <v>2.523232556841579</v>
      </c>
      <c r="L13" s="5"/>
      <c r="Q13" s="51">
        <v>0.35</v>
      </c>
      <c r="R13" s="51">
        <v>0.32</v>
      </c>
    </row>
    <row r="14" spans="1:18" ht="12.75">
      <c r="A14" s="181" t="s">
        <v>35</v>
      </c>
      <c r="B14" s="175"/>
      <c r="C14" s="182">
        <v>0.75</v>
      </c>
      <c r="D14" s="5"/>
      <c r="E14" s="5"/>
      <c r="F14" s="197" t="s">
        <v>36</v>
      </c>
      <c r="G14" s="198">
        <f>G7/C38/C8+G13*K6*K7/G12/1000</f>
        <v>21.3158</v>
      </c>
      <c r="H14" s="5" t="s">
        <v>7</v>
      </c>
      <c r="I14" s="5"/>
      <c r="J14" s="31" t="s">
        <v>37</v>
      </c>
      <c r="K14" s="5"/>
      <c r="L14" s="5"/>
      <c r="Q14" s="51">
        <v>0.4</v>
      </c>
      <c r="R14" s="51">
        <v>0.36</v>
      </c>
    </row>
    <row r="15" spans="1:18" ht="12.75">
      <c r="A15" s="181" t="s">
        <v>38</v>
      </c>
      <c r="B15" s="175"/>
      <c r="C15" s="182">
        <v>16</v>
      </c>
      <c r="D15" s="5"/>
      <c r="E15" s="5"/>
      <c r="F15" s="197" t="s">
        <v>39</v>
      </c>
      <c r="G15" s="198">
        <f>G12/G14</f>
        <v>9.38271141594498</v>
      </c>
      <c r="H15" s="5"/>
      <c r="I15" s="5"/>
      <c r="J15" s="9" t="s">
        <v>40</v>
      </c>
      <c r="K15" s="13">
        <v>300</v>
      </c>
      <c r="L15" s="5" t="s">
        <v>41</v>
      </c>
      <c r="Q15" s="51">
        <v>0.45</v>
      </c>
      <c r="R15" s="51">
        <v>0.4</v>
      </c>
    </row>
    <row r="16" spans="1:18" ht="12.75">
      <c r="A16" s="183"/>
      <c r="B16" s="184" t="s">
        <v>262</v>
      </c>
      <c r="C16" s="185">
        <f>TAN(RADIANS(C13/60/60))*C7*1000</f>
        <v>50.90543652009079</v>
      </c>
      <c r="D16" s="5" t="s">
        <v>10</v>
      </c>
      <c r="E16" s="5"/>
      <c r="F16" s="199" t="s">
        <v>42</v>
      </c>
      <c r="G16" s="230">
        <v>15</v>
      </c>
      <c r="H16" s="5" t="s">
        <v>10</v>
      </c>
      <c r="I16" s="5"/>
      <c r="J16" s="14" t="s">
        <v>43</v>
      </c>
      <c r="K16" s="17">
        <v>12</v>
      </c>
      <c r="L16" s="5"/>
      <c r="Q16" s="51">
        <v>0.5</v>
      </c>
      <c r="R16" s="51">
        <v>0.44</v>
      </c>
    </row>
    <row r="17" spans="6:18" ht="12.75">
      <c r="F17" s="175"/>
      <c r="G17" s="49"/>
      <c r="I17" s="5"/>
      <c r="J17" s="32" t="s">
        <v>46</v>
      </c>
      <c r="K17" s="33">
        <f>K16*K15</f>
        <v>3600</v>
      </c>
      <c r="L17" s="5" t="s">
        <v>41</v>
      </c>
      <c r="Q17" s="51">
        <v>0.6</v>
      </c>
      <c r="R17" s="51">
        <v>0.52</v>
      </c>
    </row>
    <row r="18" spans="5:18" ht="12.75">
      <c r="E18" s="5"/>
      <c r="F18" s="178" t="s">
        <v>44</v>
      </c>
      <c r="G18" s="228">
        <v>0</v>
      </c>
      <c r="H18" s="5" t="s">
        <v>45</v>
      </c>
      <c r="I18" s="5"/>
      <c r="J18" s="34" t="s">
        <v>48</v>
      </c>
      <c r="M18" s="35"/>
      <c r="Q18" s="51">
        <v>0.7</v>
      </c>
      <c r="R18" s="51">
        <v>0.59</v>
      </c>
    </row>
    <row r="19" spans="1:18" ht="12.75">
      <c r="A19" s="31" t="s">
        <v>49</v>
      </c>
      <c r="B19" s="31"/>
      <c r="E19" s="5"/>
      <c r="F19" s="195" t="s">
        <v>47</v>
      </c>
      <c r="G19" s="196">
        <v>20</v>
      </c>
      <c r="H19" s="5" t="s">
        <v>10</v>
      </c>
      <c r="J19" s="37" t="s">
        <v>51</v>
      </c>
      <c r="K19" s="38">
        <v>12</v>
      </c>
      <c r="L19" s="5" t="s">
        <v>52</v>
      </c>
      <c r="M19" s="35"/>
      <c r="N19" s="35"/>
      <c r="Q19" s="51">
        <v>0.8</v>
      </c>
      <c r="R19" s="51">
        <v>0.65</v>
      </c>
    </row>
    <row r="20" spans="1:18" ht="12.75">
      <c r="A20" s="39" t="s">
        <v>53</v>
      </c>
      <c r="B20" s="40"/>
      <c r="C20" s="40"/>
      <c r="D20" s="41"/>
      <c r="E20" s="5"/>
      <c r="F20" s="36" t="s">
        <v>50</v>
      </c>
      <c r="G20" s="35"/>
      <c r="H20" s="5"/>
      <c r="I20" s="5"/>
      <c r="Q20" s="51">
        <v>0.9</v>
      </c>
      <c r="R20" s="51">
        <v>0.71</v>
      </c>
    </row>
    <row r="21" spans="1:18" ht="12.75">
      <c r="A21" s="43" t="s">
        <v>55</v>
      </c>
      <c r="B21" s="80"/>
      <c r="C21" s="20"/>
      <c r="D21" s="44"/>
      <c r="E21" s="5"/>
      <c r="F21" s="12" t="s">
        <v>54</v>
      </c>
      <c r="G21" s="42">
        <v>1200</v>
      </c>
      <c r="H21" s="5"/>
      <c r="I21" s="5"/>
      <c r="J21" s="148" t="s">
        <v>57</v>
      </c>
      <c r="K21" s="135"/>
      <c r="Q21" s="51">
        <v>1</v>
      </c>
      <c r="R21" s="51">
        <v>0.76</v>
      </c>
    </row>
    <row r="22" spans="1:18" ht="12.75">
      <c r="A22" s="45" t="str">
        <f>" (explanatory notes and worked example)"</f>
        <v> (explanatory notes and worked example)</v>
      </c>
      <c r="B22" s="177"/>
      <c r="C22" s="46"/>
      <c r="D22" s="47"/>
      <c r="E22" s="5"/>
      <c r="F22" s="14" t="s">
        <v>56</v>
      </c>
      <c r="G22" s="17">
        <v>1</v>
      </c>
      <c r="I22" s="5"/>
      <c r="J22" s="9" t="s">
        <v>59</v>
      </c>
      <c r="K22" s="13">
        <v>12</v>
      </c>
      <c r="L22" s="5"/>
      <c r="Q22" s="51">
        <v>1.1</v>
      </c>
      <c r="R22" s="51">
        <v>0.8</v>
      </c>
    </row>
    <row r="23" spans="6:18" ht="13.5" thickBot="1">
      <c r="F23" s="22" t="s">
        <v>58</v>
      </c>
      <c r="G23" s="21">
        <f>G9</f>
        <v>20</v>
      </c>
      <c r="H23" s="5" t="s">
        <v>7</v>
      </c>
      <c r="I23" s="49"/>
      <c r="J23" s="14" t="s">
        <v>62</v>
      </c>
      <c r="K23" s="17">
        <v>10800</v>
      </c>
      <c r="L23" s="5" t="s">
        <v>63</v>
      </c>
      <c r="Q23" s="51">
        <v>1.2</v>
      </c>
      <c r="R23" s="51">
        <v>0.84</v>
      </c>
    </row>
    <row r="24" spans="1:18" ht="13.5" thickBot="1">
      <c r="A24" s="142" t="s">
        <v>64</v>
      </c>
      <c r="B24" s="143"/>
      <c r="F24" s="22" t="s">
        <v>61</v>
      </c>
      <c r="G24" s="21">
        <f>G9/COS(RADIANS(C36))</f>
        <v>21.757938826846825</v>
      </c>
      <c r="H24" s="5" t="s">
        <v>7</v>
      </c>
      <c r="I24" s="54"/>
      <c r="J24" s="23" t="s">
        <v>67</v>
      </c>
      <c r="K24" s="25">
        <v>-0.4</v>
      </c>
      <c r="L24" s="5"/>
      <c r="Q24" s="51">
        <v>1.4</v>
      </c>
      <c r="R24" s="51">
        <v>0.9</v>
      </c>
    </row>
    <row r="25" spans="1:18" ht="12.75">
      <c r="A25" s="200" t="s">
        <v>68</v>
      </c>
      <c r="B25" s="201">
        <f>G26</f>
        <v>5264.46704924657</v>
      </c>
      <c r="F25" s="52" t="s">
        <v>65</v>
      </c>
      <c r="G25" s="53">
        <f>ABS(10000*K6*K11*COS(RADIANS(C37))/G22/G21/G12)</f>
        <v>0.49407253534216766</v>
      </c>
      <c r="H25" s="5" t="s">
        <v>66</v>
      </c>
      <c r="I25" s="54"/>
      <c r="J25" s="31" t="s">
        <v>73</v>
      </c>
      <c r="Q25" s="51">
        <v>1.6</v>
      </c>
      <c r="R25" s="51">
        <v>0.94</v>
      </c>
    </row>
    <row r="26" spans="1:18" ht="12.75">
      <c r="A26" s="202" t="s">
        <v>74</v>
      </c>
      <c r="B26" s="204">
        <f>G27</f>
        <v>1.2466599066166195</v>
      </c>
      <c r="C26" s="5" t="s">
        <v>71</v>
      </c>
      <c r="E26" s="56"/>
      <c r="F26" s="52" t="s">
        <v>69</v>
      </c>
      <c r="G26" s="55">
        <f>IF(K13&lt;2,ABS(1000*C38*G12/2/K6/K11*(TAN(RADIANS(C36))+SIN(RADIANS(C37))/COS(RADIANS(C36)))),ABS(1000*C38*G12/C40*(TAN(RADIANS(C36))+SIN(RADIANS(C37))/COS(RADIANS(C36)))))</f>
        <v>5264.46704924657</v>
      </c>
      <c r="H26" s="54"/>
      <c r="I26" s="49"/>
      <c r="J26" s="59" t="s">
        <v>77</v>
      </c>
      <c r="K26" s="60">
        <f>K37/K39</f>
        <v>14.036971880069009</v>
      </c>
      <c r="Q26" s="51">
        <v>1.8</v>
      </c>
      <c r="R26" s="51">
        <v>0.96</v>
      </c>
    </row>
    <row r="27" spans="1:18" ht="12.75">
      <c r="A27" s="202" t="s">
        <v>70</v>
      </c>
      <c r="B27" s="203">
        <f>G33</f>
        <v>335.9693240326742</v>
      </c>
      <c r="C27" s="5" t="s">
        <v>71</v>
      </c>
      <c r="F27" s="52" t="s">
        <v>72</v>
      </c>
      <c r="G27" s="53">
        <f>G30/G26</f>
        <v>1.2466599066166195</v>
      </c>
      <c r="H27" s="5" t="s">
        <v>71</v>
      </c>
      <c r="J27" s="34" t="s">
        <v>80</v>
      </c>
      <c r="K27" s="35"/>
      <c r="L27" s="49"/>
      <c r="Q27" s="51">
        <v>2</v>
      </c>
      <c r="R27" s="51">
        <v>0.98</v>
      </c>
    </row>
    <row r="28" spans="1:18" ht="12.75">
      <c r="A28" s="206" t="s">
        <v>83</v>
      </c>
      <c r="B28" s="207">
        <f>G21</f>
        <v>1200</v>
      </c>
      <c r="F28" s="57" t="s">
        <v>75</v>
      </c>
      <c r="G28" s="58">
        <f>(G25/K6)*100</f>
        <v>7.660039307630506</v>
      </c>
      <c r="H28" s="49" t="s">
        <v>76</v>
      </c>
      <c r="J28" s="220" t="s">
        <v>82</v>
      </c>
      <c r="K28" s="221">
        <f>'Bowen Mag '!$I$11</f>
        <v>12.652561913857323</v>
      </c>
      <c r="M28" s="49"/>
      <c r="Q28" s="51">
        <v>10</v>
      </c>
      <c r="R28" s="51">
        <v>1</v>
      </c>
    </row>
    <row r="29" spans="1:9" ht="12.75">
      <c r="A29" s="206" t="s">
        <v>85</v>
      </c>
      <c r="B29" s="207">
        <f>G22</f>
        <v>1</v>
      </c>
      <c r="E29" s="49"/>
      <c r="F29" s="31" t="s">
        <v>79</v>
      </c>
      <c r="G29" s="35"/>
      <c r="I29" s="49"/>
    </row>
    <row r="30" spans="1:12" ht="12.75">
      <c r="A30" s="206" t="s">
        <v>87</v>
      </c>
      <c r="B30" s="207">
        <f>G19</f>
        <v>20</v>
      </c>
      <c r="C30" s="5" t="s">
        <v>10</v>
      </c>
      <c r="E30" s="49"/>
      <c r="F30" s="9" t="s">
        <v>81</v>
      </c>
      <c r="G30" s="13">
        <v>6563</v>
      </c>
      <c r="H30" s="5" t="s">
        <v>71</v>
      </c>
      <c r="I30" s="49"/>
      <c r="K30" s="5"/>
      <c r="L30" s="5"/>
    </row>
    <row r="31" spans="1:11" ht="12.75">
      <c r="A31" s="202" t="s">
        <v>216</v>
      </c>
      <c r="B31" s="205">
        <f>K22</f>
        <v>12</v>
      </c>
      <c r="E31" s="49"/>
      <c r="F31" s="22" t="s">
        <v>84</v>
      </c>
      <c r="G31" s="61">
        <f>G30-K7*G25/K11/2</f>
        <v>6395.015337983663</v>
      </c>
      <c r="H31" s="5" t="s">
        <v>71</v>
      </c>
      <c r="I31" s="62"/>
      <c r="K31" s="222"/>
    </row>
    <row r="32" spans="1:11" ht="13.5" thickBot="1">
      <c r="A32" s="218" t="s">
        <v>78</v>
      </c>
      <c r="B32" s="219">
        <f>K26</f>
        <v>14.036971880069009</v>
      </c>
      <c r="E32" s="49"/>
      <c r="F32" s="22" t="s">
        <v>86</v>
      </c>
      <c r="G32" s="61">
        <f>G30+K7*G25/K11/2</f>
        <v>6730.984662016337</v>
      </c>
      <c r="H32" s="5" t="s">
        <v>71</v>
      </c>
      <c r="J32" s="49"/>
      <c r="K32" s="223"/>
    </row>
    <row r="33" spans="3:10" ht="12.75">
      <c r="C33" s="5"/>
      <c r="F33" s="29" t="s">
        <v>88</v>
      </c>
      <c r="G33" s="63">
        <f>G32-G31</f>
        <v>335.9693240326742</v>
      </c>
      <c r="H33" s="5" t="s">
        <v>71</v>
      </c>
      <c r="J33" s="31" t="s">
        <v>91</v>
      </c>
    </row>
    <row r="34" spans="10:12" ht="12.75">
      <c r="J34" s="64" t="s">
        <v>94</v>
      </c>
      <c r="K34" s="224">
        <f>(8.48E+34)*POWER(10,-0.4*(K22+K24))/(POWER(K23,4)*POWER(G30,4)*(EXP(144000000/K23/G30)-1))</f>
        <v>0.011615178679213516</v>
      </c>
      <c r="L34" s="49" t="s">
        <v>95</v>
      </c>
    </row>
    <row r="35" spans="1:14" ht="12.75">
      <c r="A35" s="8" t="s">
        <v>89</v>
      </c>
      <c r="B35" s="8"/>
      <c r="D35" s="49" t="s">
        <v>45</v>
      </c>
      <c r="F35" s="31" t="s">
        <v>90</v>
      </c>
      <c r="J35" s="65" t="s">
        <v>98</v>
      </c>
      <c r="K35" s="225">
        <f>8.48E+34*POWER(10,-0.4*(K24))/POWER(K23,4)/POWER(G30,4)/(EXP(144000000/K23/G30)-1)*POWER(10,-0.4*C15)</f>
        <v>0.0002917600972387573</v>
      </c>
      <c r="L35" s="49" t="s">
        <v>99</v>
      </c>
      <c r="M35" s="5"/>
      <c r="N35" s="5"/>
    </row>
    <row r="36" spans="1:14" ht="12.75">
      <c r="A36" s="186"/>
      <c r="B36" s="187" t="s">
        <v>92</v>
      </c>
      <c r="C36" s="188">
        <f>DEGREES(ASIN(0.0000001*G22*G21*G30/2/COS(RADIANS(G18/2))))+G18/2</f>
        <v>23.189907486192162</v>
      </c>
      <c r="D36" s="49" t="s">
        <v>45</v>
      </c>
      <c r="F36" s="9" t="s">
        <v>93</v>
      </c>
      <c r="G36" s="13">
        <v>1</v>
      </c>
      <c r="J36" s="65" t="s">
        <v>102</v>
      </c>
      <c r="K36" s="66">
        <f>(1-C9*C9)*C14*C10*G42*K8/100</f>
        <v>0.05510120878079999</v>
      </c>
      <c r="L36" s="49" t="s">
        <v>17</v>
      </c>
      <c r="M36" s="49"/>
      <c r="N36" s="5"/>
    </row>
    <row r="37" spans="1:14" ht="12.75">
      <c r="A37" s="189"/>
      <c r="B37" s="22" t="s">
        <v>96</v>
      </c>
      <c r="C37" s="190">
        <f>C36-G18</f>
        <v>23.189907486192162</v>
      </c>
      <c r="D37" s="49"/>
      <c r="E37" s="49"/>
      <c r="F37" s="14" t="s">
        <v>97</v>
      </c>
      <c r="G37" s="17">
        <v>1</v>
      </c>
      <c r="J37" s="65" t="s">
        <v>105</v>
      </c>
      <c r="K37" s="67">
        <f>0.25*PI()*K34*K36*C6*C6*G25*K17/100</f>
        <v>1095.2322034859367</v>
      </c>
      <c r="L37" s="49" t="s">
        <v>21</v>
      </c>
      <c r="M37" s="49"/>
      <c r="N37" s="5"/>
    </row>
    <row r="38" spans="1:14" ht="12.75">
      <c r="A38" s="189"/>
      <c r="B38" s="22" t="s">
        <v>100</v>
      </c>
      <c r="C38" s="190">
        <f>COS(RADIANS(C36))/COS(RADIANS(C37))</f>
        <v>1</v>
      </c>
      <c r="D38" s="49" t="s">
        <v>10</v>
      </c>
      <c r="F38" s="14" t="s">
        <v>101</v>
      </c>
      <c r="G38" s="17">
        <v>0.92</v>
      </c>
      <c r="J38" s="65" t="s">
        <v>108</v>
      </c>
      <c r="K38" s="67">
        <f>3.34*10^8*K35*K36*G25*K12*K6/1000*G19/1000*K17*G7/G12/C8/C8</f>
        <v>24.640323636047857</v>
      </c>
      <c r="L38" s="49" t="s">
        <v>21</v>
      </c>
      <c r="M38" s="49"/>
      <c r="N38" s="5"/>
    </row>
    <row r="39" spans="1:14" ht="12.75">
      <c r="A39" s="189"/>
      <c r="B39" s="22" t="s">
        <v>103</v>
      </c>
      <c r="C39" s="190">
        <f>0.0001*G12*G30/(G7/C38/C8)</f>
        <v>6.563</v>
      </c>
      <c r="D39" s="49" t="s">
        <v>10</v>
      </c>
      <c r="F39" s="14" t="s">
        <v>104</v>
      </c>
      <c r="G39" s="17">
        <v>0.92</v>
      </c>
      <c r="J39" s="65" t="s">
        <v>110</v>
      </c>
      <c r="K39" s="67">
        <f>SQRT(K37+K38+K10*K19*K15*K11*K12+K19/K12*K16*K9*K9)</f>
        <v>78.02481994290012</v>
      </c>
      <c r="L39" s="49" t="s">
        <v>111</v>
      </c>
      <c r="M39" s="49"/>
      <c r="N39" s="5"/>
    </row>
    <row r="40" spans="1:14" ht="12.75">
      <c r="A40" s="183"/>
      <c r="B40" s="191" t="s">
        <v>106</v>
      </c>
      <c r="C40" s="192">
        <f>IF((G19&lt;C16),1000*SQRT((POWER(C38*G12/G7,2)*(POWER(G19/1000,2)+POWER(G10/1000,2))+POWER(G16/1000,2)+POWER(C39/1000,2)+POWER(K11*K6/1000,2))),1000*SQRT((POWER(C38*G12/G7,2)*(POWER(C16/1000,2)+POWER(G10/1000,2))+POWER(G16/1000,2)+POWER(C39/1000,2)+POWER(K11*K6/1000,2))))</f>
        <v>32.549699983256374</v>
      </c>
      <c r="F40" s="14" t="s">
        <v>107</v>
      </c>
      <c r="G40" s="17">
        <v>0.6</v>
      </c>
      <c r="J40" s="65" t="s">
        <v>113</v>
      </c>
      <c r="K40" s="69">
        <f>SQRT(G27/G25)*K26</f>
        <v>22.297289351828425</v>
      </c>
      <c r="L40" s="70" t="s">
        <v>21</v>
      </c>
      <c r="M40" s="49"/>
      <c r="N40" s="5"/>
    </row>
    <row r="41" spans="4:14" ht="12.75">
      <c r="D41" s="35"/>
      <c r="E41" s="35"/>
      <c r="F41" s="22" t="s">
        <v>109</v>
      </c>
      <c r="G41" s="68">
        <f>VLOOKUP(1/((C16)/G19),Q6:R28,2,TRUE)</f>
        <v>0.32</v>
      </c>
      <c r="J41" s="71" t="s">
        <v>114</v>
      </c>
      <c r="K41" s="72">
        <f>SQRT(K37+K38)</f>
        <v>33.464496516786035</v>
      </c>
      <c r="L41" s="5"/>
      <c r="M41" s="49"/>
      <c r="N41" s="5"/>
    </row>
    <row r="42" spans="6:14" ht="12.75">
      <c r="F42" s="32" t="s">
        <v>112</v>
      </c>
      <c r="G42" s="30">
        <f>G36*G37*G38*G39*G40*G41</f>
        <v>0.16250879999999998</v>
      </c>
      <c r="J42" s="73" t="s">
        <v>115</v>
      </c>
      <c r="K42" s="74">
        <f>K9*SQRT(K16*K19)</f>
        <v>84</v>
      </c>
      <c r="L42" s="70" t="s">
        <v>21</v>
      </c>
      <c r="M42" s="5"/>
      <c r="N42" s="5"/>
    </row>
    <row r="43" spans="13:14" ht="12.75">
      <c r="M43" s="5"/>
      <c r="N43" s="5"/>
    </row>
    <row r="44" spans="6:7" ht="12.75">
      <c r="F44" s="49"/>
      <c r="G44" s="49"/>
    </row>
    <row r="45" spans="6:7" ht="12.75">
      <c r="F45" s="35"/>
      <c r="G45" s="35"/>
    </row>
    <row r="46" spans="1:2" ht="12.75">
      <c r="A46" s="75" t="s">
        <v>116</v>
      </c>
      <c r="B46" s="211"/>
    </row>
    <row r="47" spans="1:8" ht="12.75">
      <c r="A47" s="76" t="s">
        <v>117</v>
      </c>
      <c r="B47" s="76" t="s">
        <v>118</v>
      </c>
      <c r="D47" s="193"/>
      <c r="E47" s="193"/>
      <c r="H47" s="193"/>
    </row>
    <row r="48" spans="1:8" ht="12.75">
      <c r="A48" s="193" t="s">
        <v>119</v>
      </c>
      <c r="B48" s="193" t="s">
        <v>120</v>
      </c>
      <c r="C48" s="193"/>
      <c r="D48" s="193"/>
      <c r="E48" s="193"/>
      <c r="F48" s="193"/>
      <c r="G48" s="193"/>
      <c r="H48" s="193"/>
    </row>
    <row r="49" spans="1:8" ht="12.75">
      <c r="A49" s="193" t="s">
        <v>121</v>
      </c>
      <c r="B49" s="193" t="s">
        <v>122</v>
      </c>
      <c r="C49" s="193"/>
      <c r="D49" s="193"/>
      <c r="E49" s="193"/>
      <c r="F49" s="193"/>
      <c r="G49" s="193"/>
      <c r="H49" s="193"/>
    </row>
    <row r="50" spans="1:8" ht="12.75">
      <c r="A50" s="193" t="s">
        <v>123</v>
      </c>
      <c r="B50" s="193" t="s">
        <v>124</v>
      </c>
      <c r="C50" s="193"/>
      <c r="D50" s="193"/>
      <c r="E50" s="193"/>
      <c r="F50" s="193"/>
      <c r="G50" s="193"/>
      <c r="H50" s="193"/>
    </row>
    <row r="51" spans="1:8" ht="12.75">
      <c r="A51" s="193" t="s">
        <v>125</v>
      </c>
      <c r="B51" s="193" t="s">
        <v>126</v>
      </c>
      <c r="C51" s="193"/>
      <c r="D51" s="193"/>
      <c r="E51" s="193"/>
      <c r="F51" s="193"/>
      <c r="G51" s="193"/>
      <c r="H51" s="193"/>
    </row>
    <row r="52" spans="1:8" ht="12.75">
      <c r="A52" s="194" t="s">
        <v>127</v>
      </c>
      <c r="B52" s="194" t="s">
        <v>128</v>
      </c>
      <c r="C52" s="193"/>
      <c r="D52" s="193"/>
      <c r="E52" s="193"/>
      <c r="F52" s="193"/>
      <c r="G52" s="193"/>
      <c r="H52" s="193"/>
    </row>
    <row r="53" spans="1:8" ht="12.75">
      <c r="A53" s="193"/>
      <c r="B53" s="193" t="s">
        <v>129</v>
      </c>
      <c r="C53" s="193"/>
      <c r="D53" s="193"/>
      <c r="E53" s="193"/>
      <c r="F53" s="193"/>
      <c r="G53" s="193"/>
      <c r="H53" s="193"/>
    </row>
    <row r="54" spans="1:8" ht="12.75">
      <c r="A54" s="193"/>
      <c r="B54" s="193" t="s">
        <v>130</v>
      </c>
      <c r="C54" s="193"/>
      <c r="D54" s="193"/>
      <c r="E54" s="193"/>
      <c r="F54" s="193"/>
      <c r="G54" s="193"/>
      <c r="H54" s="193"/>
    </row>
    <row r="55" spans="1:7" ht="12.75">
      <c r="A55" s="193"/>
      <c r="B55" s="193"/>
      <c r="C55" s="193"/>
      <c r="F55" s="193"/>
      <c r="G55" s="193"/>
    </row>
  </sheetData>
  <sheetProtection selectLockedCells="1" selectUnlockedCells="1"/>
  <hyperlinks>
    <hyperlink ref="A21" r:id="rId1" display="www.astrosurf.org/buil/us/stage/calcul/design_us.ht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5">
      <selection activeCell="I35" sqref="I35"/>
    </sheetView>
  </sheetViews>
  <sheetFormatPr defaultColWidth="11.421875" defaultRowHeight="12.75"/>
  <cols>
    <col min="1" max="2" width="12.421875" style="0" customWidth="1"/>
    <col min="3" max="3" width="9.140625" style="0" customWidth="1"/>
    <col min="4" max="4" width="7.57421875" style="0" customWidth="1"/>
    <col min="5" max="5" width="11.140625" style="0" customWidth="1"/>
    <col min="6" max="6" width="10.7109375" style="0" customWidth="1"/>
    <col min="7" max="7" width="9.140625" style="0" customWidth="1"/>
    <col min="8" max="8" width="12.28125" style="0" customWidth="1"/>
    <col min="9" max="9" width="9.140625" style="0" customWidth="1"/>
    <col min="10" max="10" width="14.421875" style="0" customWidth="1"/>
    <col min="11" max="12" width="9.140625" style="0" customWidth="1"/>
    <col min="13" max="13" width="8.57421875" style="0" customWidth="1"/>
    <col min="14" max="14" width="11.57421875" style="0" customWidth="1"/>
    <col min="15" max="16384" width="9.140625" style="0" customWidth="1"/>
  </cols>
  <sheetData>
    <row r="1" spans="1:21" ht="15.75">
      <c r="A1" s="133" t="s">
        <v>131</v>
      </c>
      <c r="B1" s="133"/>
      <c r="C1" s="133"/>
      <c r="D1" s="132"/>
      <c r="E1" s="134" t="s">
        <v>146</v>
      </c>
      <c r="F1" s="134"/>
      <c r="G1" s="134"/>
      <c r="H1" s="135"/>
      <c r="J1" s="134" t="s">
        <v>132</v>
      </c>
      <c r="K1" s="134"/>
      <c r="L1" s="134"/>
      <c r="N1" s="133" t="s">
        <v>250</v>
      </c>
      <c r="O1" s="160"/>
      <c r="P1" s="160"/>
      <c r="Q1" s="168"/>
      <c r="R1" s="168"/>
      <c r="S1" s="168"/>
      <c r="T1" s="168"/>
      <c r="U1" s="135"/>
    </row>
    <row r="2" spans="5:16" ht="13.5" customHeight="1">
      <c r="E2" s="144" t="s">
        <v>147</v>
      </c>
      <c r="F2" s="144" t="s">
        <v>148</v>
      </c>
      <c r="G2" s="144" t="s">
        <v>149</v>
      </c>
      <c r="H2" s="144" t="s">
        <v>150</v>
      </c>
      <c r="K2" s="146" t="s">
        <v>133</v>
      </c>
      <c r="L2" s="147" t="s">
        <v>134</v>
      </c>
      <c r="N2" s="149" t="s">
        <v>238</v>
      </c>
      <c r="O2" s="150">
        <v>755</v>
      </c>
      <c r="P2" s="151">
        <v>8.6</v>
      </c>
    </row>
    <row r="3" spans="1:16" ht="12.75" customHeight="1" thickBot="1">
      <c r="A3" s="125" t="s">
        <v>136</v>
      </c>
      <c r="B3" s="125" t="s">
        <v>137</v>
      </c>
      <c r="C3" s="76" t="s">
        <v>138</v>
      </c>
      <c r="E3" s="145"/>
      <c r="F3" s="145" t="s">
        <v>151</v>
      </c>
      <c r="G3" s="145"/>
      <c r="H3" s="145"/>
      <c r="J3" s="161" t="s">
        <v>139</v>
      </c>
      <c r="K3" s="231" t="s">
        <v>140</v>
      </c>
      <c r="L3" s="232"/>
      <c r="N3" s="154" t="s">
        <v>240</v>
      </c>
      <c r="O3" s="155">
        <v>659</v>
      </c>
      <c r="P3" s="156">
        <v>7.4</v>
      </c>
    </row>
    <row r="4" spans="1:16" ht="12.75">
      <c r="A4" s="126">
        <v>0</v>
      </c>
      <c r="B4" s="127">
        <v>0.83</v>
      </c>
      <c r="E4" s="113" t="s">
        <v>152</v>
      </c>
      <c r="F4" s="114">
        <v>-4.3</v>
      </c>
      <c r="G4" s="114">
        <v>-4.2</v>
      </c>
      <c r="H4" s="115">
        <v>-4</v>
      </c>
      <c r="J4" s="126">
        <v>3500</v>
      </c>
      <c r="K4" s="169" t="s">
        <v>142</v>
      </c>
      <c r="L4" s="127" t="s">
        <v>142</v>
      </c>
      <c r="N4" s="154" t="s">
        <v>246</v>
      </c>
      <c r="O4" s="155">
        <v>782</v>
      </c>
      <c r="P4" s="156">
        <v>8.3</v>
      </c>
    </row>
    <row r="5" spans="1:16" ht="12.75">
      <c r="A5" s="128">
        <v>10</v>
      </c>
      <c r="B5" s="129">
        <v>0.83</v>
      </c>
      <c r="E5" s="116" t="s">
        <v>218</v>
      </c>
      <c r="F5" s="112">
        <v>-3.9</v>
      </c>
      <c r="G5" s="112">
        <v>-3.8</v>
      </c>
      <c r="H5" s="117">
        <v>-3.7</v>
      </c>
      <c r="J5" s="128">
        <v>3750</v>
      </c>
      <c r="K5" s="78" t="s">
        <v>142</v>
      </c>
      <c r="L5" s="129" t="s">
        <v>142</v>
      </c>
      <c r="N5" s="154" t="s">
        <v>242</v>
      </c>
      <c r="O5" s="155">
        <v>650</v>
      </c>
      <c r="P5" s="156">
        <v>8.6</v>
      </c>
    </row>
    <row r="6" spans="1:16" ht="12.75">
      <c r="A6" s="128">
        <v>20</v>
      </c>
      <c r="B6" s="129">
        <v>0.82</v>
      </c>
      <c r="E6" s="116" t="s">
        <v>219</v>
      </c>
      <c r="F6" s="112">
        <v>-3.6</v>
      </c>
      <c r="G6" s="112">
        <v>-3.4</v>
      </c>
      <c r="H6" s="117">
        <v>-3.3</v>
      </c>
      <c r="J6" s="128">
        <v>4000</v>
      </c>
      <c r="K6" s="79">
        <v>0.49</v>
      </c>
      <c r="L6" s="170">
        <f>K6*$M$25</f>
        <v>0.294</v>
      </c>
      <c r="N6" s="163" t="s">
        <v>247</v>
      </c>
      <c r="O6" s="162">
        <v>1360</v>
      </c>
      <c r="P6" s="156">
        <v>6.45</v>
      </c>
    </row>
    <row r="7" spans="1:16" ht="12.75">
      <c r="A7" s="128">
        <v>30</v>
      </c>
      <c r="B7" s="129">
        <v>0.81</v>
      </c>
      <c r="E7" s="116" t="s">
        <v>220</v>
      </c>
      <c r="F7" s="112">
        <v>-3</v>
      </c>
      <c r="G7" s="112">
        <v>-2.9</v>
      </c>
      <c r="H7" s="117">
        <v>-2.7</v>
      </c>
      <c r="J7" s="128">
        <v>4250</v>
      </c>
      <c r="K7" s="79">
        <v>0.7</v>
      </c>
      <c r="L7" s="170">
        <f aca="true" t="shared" si="0" ref="L7:L22">K7*$M$25</f>
        <v>0.42</v>
      </c>
      <c r="N7" s="163" t="s">
        <v>248</v>
      </c>
      <c r="O7" s="162">
        <v>752</v>
      </c>
      <c r="P7" s="156">
        <v>4.75</v>
      </c>
    </row>
    <row r="8" spans="1:16" ht="12.75">
      <c r="A8" s="128">
        <v>40</v>
      </c>
      <c r="B8" s="129">
        <v>0.78</v>
      </c>
      <c r="E8" s="116" t="s">
        <v>221</v>
      </c>
      <c r="F8" s="112">
        <v>-2.5</v>
      </c>
      <c r="G8" s="112">
        <v>-2</v>
      </c>
      <c r="H8" s="117">
        <v>-1.7</v>
      </c>
      <c r="J8" s="128">
        <v>4500</v>
      </c>
      <c r="K8" s="79">
        <v>0.82</v>
      </c>
      <c r="L8" s="170">
        <f t="shared" si="0"/>
        <v>0.49199999999999994</v>
      </c>
      <c r="N8" s="154" t="s">
        <v>251</v>
      </c>
      <c r="O8" s="5">
        <v>765</v>
      </c>
      <c r="P8" s="166">
        <v>9</v>
      </c>
    </row>
    <row r="9" spans="1:16" ht="12.75">
      <c r="A9" s="128">
        <v>50</v>
      </c>
      <c r="B9" s="129">
        <v>0.75</v>
      </c>
      <c r="E9" s="118" t="s">
        <v>222</v>
      </c>
      <c r="F9" s="111">
        <v>-2</v>
      </c>
      <c r="G9" s="111">
        <v>-1.6</v>
      </c>
      <c r="H9" s="119">
        <v>-1.35</v>
      </c>
      <c r="J9" s="128">
        <v>4750</v>
      </c>
      <c r="K9" s="79">
        <v>0.92</v>
      </c>
      <c r="L9" s="170">
        <f t="shared" si="0"/>
        <v>0.552</v>
      </c>
      <c r="N9" s="167" t="s">
        <v>252</v>
      </c>
      <c r="O9" s="5">
        <v>1530</v>
      </c>
      <c r="P9" s="166">
        <v>9</v>
      </c>
    </row>
    <row r="10" spans="1:16" ht="12.75">
      <c r="A10" s="128">
        <v>60</v>
      </c>
      <c r="B10" s="129">
        <v>0.69</v>
      </c>
      <c r="E10" s="118" t="s">
        <v>223</v>
      </c>
      <c r="F10" s="111">
        <v>-1.8</v>
      </c>
      <c r="G10" s="111">
        <v>-1.5</v>
      </c>
      <c r="H10" s="119">
        <v>-1.15</v>
      </c>
      <c r="J10" s="128">
        <v>5000</v>
      </c>
      <c r="K10" s="79">
        <v>0.99</v>
      </c>
      <c r="L10" s="170">
        <f t="shared" si="0"/>
        <v>0.594</v>
      </c>
      <c r="N10" s="163" t="s">
        <v>254</v>
      </c>
      <c r="O10" s="5">
        <v>512</v>
      </c>
      <c r="P10" s="156">
        <v>9</v>
      </c>
    </row>
    <row r="11" spans="1:16" ht="12.75">
      <c r="A11" s="128">
        <v>70</v>
      </c>
      <c r="B11" s="129">
        <v>0.58</v>
      </c>
      <c r="E11" s="118" t="s">
        <v>224</v>
      </c>
      <c r="F11" s="111">
        <v>-1.44</v>
      </c>
      <c r="G11" s="111">
        <v>-1.3</v>
      </c>
      <c r="H11" s="119">
        <v>-0.82</v>
      </c>
      <c r="J11" s="128">
        <v>5250</v>
      </c>
      <c r="K11" s="79">
        <v>0.99</v>
      </c>
      <c r="L11" s="170">
        <f t="shared" si="0"/>
        <v>0.594</v>
      </c>
      <c r="N11" s="154" t="s">
        <v>253</v>
      </c>
      <c r="O11" s="5">
        <v>2184</v>
      </c>
      <c r="P11" s="166">
        <v>6.8</v>
      </c>
    </row>
    <row r="12" spans="1:16" ht="12.75">
      <c r="A12" s="128">
        <v>80</v>
      </c>
      <c r="B12" s="129">
        <v>0.34</v>
      </c>
      <c r="E12" s="118" t="s">
        <v>225</v>
      </c>
      <c r="F12" s="111">
        <v>-0.94</v>
      </c>
      <c r="G12" s="111">
        <v>-1.07</v>
      </c>
      <c r="H12" s="119">
        <v>-0.64</v>
      </c>
      <c r="J12" s="128">
        <v>5500</v>
      </c>
      <c r="K12" s="79">
        <v>0.99</v>
      </c>
      <c r="L12" s="170">
        <f t="shared" si="0"/>
        <v>0.594</v>
      </c>
      <c r="N12" s="154" t="s">
        <v>255</v>
      </c>
      <c r="O12" s="49">
        <v>765</v>
      </c>
      <c r="P12" s="157">
        <v>9</v>
      </c>
    </row>
    <row r="13" spans="1:16" ht="12.75">
      <c r="A13" s="128">
        <v>85</v>
      </c>
      <c r="B13" s="129">
        <v>0.12</v>
      </c>
      <c r="E13" s="118" t="s">
        <v>226</v>
      </c>
      <c r="F13" s="111">
        <v>-0.15</v>
      </c>
      <c r="G13" s="111">
        <v>-0.24</v>
      </c>
      <c r="H13" s="119">
        <v>-0.3</v>
      </c>
      <c r="J13" s="128">
        <v>5750</v>
      </c>
      <c r="K13" s="79">
        <v>0.97</v>
      </c>
      <c r="L13" s="170">
        <f t="shared" si="0"/>
        <v>0.582</v>
      </c>
      <c r="N13" s="154" t="s">
        <v>256</v>
      </c>
      <c r="O13" s="49">
        <v>3326</v>
      </c>
      <c r="P13" s="157">
        <v>5.4</v>
      </c>
    </row>
    <row r="14" spans="1:16" ht="13.5" thickBot="1">
      <c r="A14" s="130">
        <v>90</v>
      </c>
      <c r="B14" s="131">
        <v>0</v>
      </c>
      <c r="E14" s="118" t="s">
        <v>227</v>
      </c>
      <c r="F14" s="111">
        <v>-0.02</v>
      </c>
      <c r="G14" s="111">
        <v>-0.02</v>
      </c>
      <c r="H14" s="119">
        <v>0</v>
      </c>
      <c r="J14" s="128">
        <v>6000</v>
      </c>
      <c r="K14" s="79">
        <v>0.95</v>
      </c>
      <c r="L14" s="170">
        <f t="shared" si="0"/>
        <v>0.57</v>
      </c>
      <c r="N14" s="158" t="s">
        <v>257</v>
      </c>
      <c r="O14" s="165">
        <v>4000</v>
      </c>
      <c r="P14" s="159">
        <v>9</v>
      </c>
    </row>
    <row r="15" spans="5:12" ht="12.75">
      <c r="E15" s="118" t="s">
        <v>228</v>
      </c>
      <c r="F15" s="111">
        <v>-0.01</v>
      </c>
      <c r="G15" s="111">
        <v>0.01</v>
      </c>
      <c r="H15" s="119">
        <v>0.14</v>
      </c>
      <c r="J15" s="128">
        <v>6250</v>
      </c>
      <c r="K15" s="79">
        <v>0.92</v>
      </c>
      <c r="L15" s="170">
        <f t="shared" si="0"/>
        <v>0.552</v>
      </c>
    </row>
    <row r="16" spans="1:16" ht="12.75">
      <c r="A16" t="s">
        <v>145</v>
      </c>
      <c r="E16" s="120" t="s">
        <v>229</v>
      </c>
      <c r="F16" s="112">
        <v>-0.03</v>
      </c>
      <c r="G16" s="112">
        <v>-0.01</v>
      </c>
      <c r="H16" s="117">
        <v>0.13</v>
      </c>
      <c r="J16" s="128">
        <v>6500</v>
      </c>
      <c r="K16" s="79">
        <v>0.88</v>
      </c>
      <c r="L16" s="170">
        <f t="shared" si="0"/>
        <v>0.528</v>
      </c>
      <c r="N16" s="149" t="s">
        <v>239</v>
      </c>
      <c r="O16" s="152">
        <v>640</v>
      </c>
      <c r="P16" s="153">
        <v>5.6</v>
      </c>
    </row>
    <row r="17" spans="5:16" ht="12.75">
      <c r="E17" s="121" t="s">
        <v>153</v>
      </c>
      <c r="F17" s="111">
        <v>-0.1</v>
      </c>
      <c r="G17" s="111">
        <v>-0.13</v>
      </c>
      <c r="H17" s="119">
        <v>-0.1</v>
      </c>
      <c r="J17" s="128">
        <v>6750</v>
      </c>
      <c r="K17" s="79">
        <v>0.79</v>
      </c>
      <c r="L17" s="170">
        <f t="shared" si="0"/>
        <v>0.474</v>
      </c>
      <c r="N17" s="154" t="s">
        <v>241</v>
      </c>
      <c r="O17" s="5">
        <v>1280</v>
      </c>
      <c r="P17" s="157">
        <v>4.65</v>
      </c>
    </row>
    <row r="18" spans="1:16" ht="15.75">
      <c r="A18" s="134" t="s">
        <v>159</v>
      </c>
      <c r="B18" s="134"/>
      <c r="E18" s="121" t="s">
        <v>154</v>
      </c>
      <c r="F18" s="111">
        <v>-0.14</v>
      </c>
      <c r="G18" s="111">
        <v>-0.34</v>
      </c>
      <c r="H18" s="119">
        <v>-0.2</v>
      </c>
      <c r="J18" s="128">
        <v>7000</v>
      </c>
      <c r="K18" s="79">
        <v>0.69</v>
      </c>
      <c r="L18" s="170">
        <f t="shared" si="0"/>
        <v>0.414</v>
      </c>
      <c r="N18" s="154" t="s">
        <v>243</v>
      </c>
      <c r="O18" s="5">
        <v>1280</v>
      </c>
      <c r="P18" s="157">
        <v>5.2</v>
      </c>
    </row>
    <row r="19" spans="1:16" ht="12" customHeight="1" thickBot="1">
      <c r="A19" s="125" t="s">
        <v>147</v>
      </c>
      <c r="B19" s="125" t="s">
        <v>160</v>
      </c>
      <c r="E19" s="121" t="s">
        <v>155</v>
      </c>
      <c r="F19" s="111">
        <v>-0.24</v>
      </c>
      <c r="G19" s="111">
        <v>-0.42</v>
      </c>
      <c r="H19" s="119">
        <v>-0.38</v>
      </c>
      <c r="J19" s="128">
        <v>7250</v>
      </c>
      <c r="K19" s="79">
        <v>0.66</v>
      </c>
      <c r="L19" s="170">
        <f t="shared" si="0"/>
        <v>0.396</v>
      </c>
      <c r="N19" s="154" t="s">
        <v>244</v>
      </c>
      <c r="O19" s="155">
        <v>3468</v>
      </c>
      <c r="P19" s="156">
        <v>6.4</v>
      </c>
    </row>
    <row r="20" spans="1:16" ht="12.75">
      <c r="A20" s="126" t="s">
        <v>161</v>
      </c>
      <c r="B20" s="127" t="s">
        <v>235</v>
      </c>
      <c r="E20" s="121" t="s">
        <v>156</v>
      </c>
      <c r="F20" s="111">
        <v>-0.66</v>
      </c>
      <c r="G20" s="111">
        <v>-1.19</v>
      </c>
      <c r="H20" s="119">
        <v>-1</v>
      </c>
      <c r="J20" s="128">
        <v>7500</v>
      </c>
      <c r="K20" s="79">
        <v>0.56</v>
      </c>
      <c r="L20" s="170">
        <f t="shared" si="0"/>
        <v>0.336</v>
      </c>
      <c r="N20" s="154" t="s">
        <v>245</v>
      </c>
      <c r="O20" s="5">
        <v>4272</v>
      </c>
      <c r="P20" s="157">
        <v>5.2</v>
      </c>
    </row>
    <row r="21" spans="1:16" ht="12.75">
      <c r="A21" s="136" t="s">
        <v>218</v>
      </c>
      <c r="B21" s="137" t="s">
        <v>236</v>
      </c>
      <c r="E21" s="121" t="s">
        <v>157</v>
      </c>
      <c r="F21" s="111">
        <v>-1.21</v>
      </c>
      <c r="G21" s="111">
        <v>-1.28</v>
      </c>
      <c r="H21" s="119">
        <v>-1.3</v>
      </c>
      <c r="J21" s="128">
        <v>7750</v>
      </c>
      <c r="K21" s="79">
        <v>0.46</v>
      </c>
      <c r="L21" s="170">
        <f t="shared" si="0"/>
        <v>0.276</v>
      </c>
      <c r="N21" s="164" t="s">
        <v>249</v>
      </c>
      <c r="O21" s="165">
        <v>3888</v>
      </c>
      <c r="P21" s="159">
        <v>5.7</v>
      </c>
    </row>
    <row r="22" spans="1:12" ht="13.5" thickBot="1">
      <c r="A22" s="128" t="s">
        <v>220</v>
      </c>
      <c r="B22" s="140">
        <v>30000</v>
      </c>
      <c r="E22" s="118" t="s">
        <v>230</v>
      </c>
      <c r="F22" s="111">
        <v>-1.75</v>
      </c>
      <c r="G22" s="111">
        <v>-1.52</v>
      </c>
      <c r="H22" s="119">
        <v>-1.5</v>
      </c>
      <c r="J22" s="130">
        <v>8000</v>
      </c>
      <c r="K22" s="171">
        <v>0.4</v>
      </c>
      <c r="L22" s="172">
        <f t="shared" si="0"/>
        <v>0.24</v>
      </c>
    </row>
    <row r="23" spans="1:8" ht="12.75">
      <c r="A23" s="128" t="s">
        <v>224</v>
      </c>
      <c r="B23" s="140">
        <v>15000</v>
      </c>
      <c r="E23" s="118" t="s">
        <v>231</v>
      </c>
      <c r="F23" s="111">
        <v>-2.28</v>
      </c>
      <c r="G23" s="111"/>
      <c r="H23" s="119">
        <v>-2.5</v>
      </c>
    </row>
    <row r="24" spans="1:14" ht="12.75">
      <c r="A24" s="128" t="s">
        <v>226</v>
      </c>
      <c r="B24" s="140">
        <v>10000</v>
      </c>
      <c r="E24" s="118" t="s">
        <v>232</v>
      </c>
      <c r="F24" s="111">
        <v>-2.59</v>
      </c>
      <c r="G24" s="111"/>
      <c r="H24" s="119">
        <v>-3.3</v>
      </c>
      <c r="J24" t="s">
        <v>135</v>
      </c>
      <c r="N24" s="173" t="s">
        <v>143</v>
      </c>
    </row>
    <row r="25" spans="1:14" ht="13.5" thickBot="1">
      <c r="A25" s="128" t="s">
        <v>227</v>
      </c>
      <c r="B25" s="140">
        <v>8000</v>
      </c>
      <c r="E25" s="122" t="s">
        <v>233</v>
      </c>
      <c r="F25" s="123">
        <v>-4</v>
      </c>
      <c r="G25" s="123"/>
      <c r="H25" s="124"/>
      <c r="K25" s="77" t="s">
        <v>141</v>
      </c>
      <c r="M25" s="77">
        <v>0.6</v>
      </c>
      <c r="N25" s="80" t="s">
        <v>144</v>
      </c>
    </row>
    <row r="26" spans="1:14" ht="12.75">
      <c r="A26" s="128" t="s">
        <v>228</v>
      </c>
      <c r="B26" s="140">
        <v>7000</v>
      </c>
      <c r="E26" s="105"/>
      <c r="F26" s="105"/>
      <c r="G26" s="105"/>
      <c r="H26" s="105"/>
      <c r="I26" s="5"/>
      <c r="N26" s="77"/>
    </row>
    <row r="27" spans="1:9" ht="14.25" customHeight="1">
      <c r="A27" s="128" t="s">
        <v>229</v>
      </c>
      <c r="B27" s="140">
        <v>6200</v>
      </c>
      <c r="E27" s="106" t="s">
        <v>158</v>
      </c>
      <c r="F27" s="106"/>
      <c r="G27" s="106"/>
      <c r="H27" s="106"/>
      <c r="I27" s="139"/>
    </row>
    <row r="28" spans="1:9" ht="12" customHeight="1">
      <c r="A28" s="128" t="s">
        <v>153</v>
      </c>
      <c r="B28" s="140">
        <v>6000</v>
      </c>
      <c r="E28" s="107"/>
      <c r="F28" s="108" t="s">
        <v>234</v>
      </c>
      <c r="G28" s="109"/>
      <c r="H28" s="109"/>
      <c r="I28" s="110"/>
    </row>
    <row r="29" spans="1:13" ht="12.75">
      <c r="A29" s="128" t="s">
        <v>154</v>
      </c>
      <c r="B29" s="140">
        <v>5500</v>
      </c>
      <c r="E29" s="107"/>
      <c r="F29" s="107"/>
      <c r="G29" s="107"/>
      <c r="H29" s="107"/>
      <c r="I29" s="216"/>
      <c r="J29" s="135"/>
      <c r="K29" s="217" t="s">
        <v>274</v>
      </c>
      <c r="L29" s="160" t="s">
        <v>266</v>
      </c>
      <c r="M29" s="160"/>
    </row>
    <row r="30" spans="1:10" ht="12.75">
      <c r="A30" s="128" t="s">
        <v>155</v>
      </c>
      <c r="B30" s="140">
        <v>5100</v>
      </c>
      <c r="J30" t="s">
        <v>267</v>
      </c>
    </row>
    <row r="31" spans="1:10" ht="12.75">
      <c r="A31" s="138" t="s">
        <v>156</v>
      </c>
      <c r="B31" s="141">
        <v>4000</v>
      </c>
      <c r="J31" t="s">
        <v>268</v>
      </c>
    </row>
    <row r="32" spans="1:10" ht="13.5" thickBot="1">
      <c r="A32" s="130" t="s">
        <v>157</v>
      </c>
      <c r="B32" s="131" t="s">
        <v>162</v>
      </c>
      <c r="J32" t="s">
        <v>269</v>
      </c>
    </row>
    <row r="33" spans="9:10" ht="12.75">
      <c r="I33" t="s">
        <v>143</v>
      </c>
      <c r="J33" t="s">
        <v>263</v>
      </c>
    </row>
    <row r="34" spans="1:10" ht="12.75">
      <c r="A34" t="s">
        <v>143</v>
      </c>
      <c r="J34" t="s">
        <v>265</v>
      </c>
    </row>
    <row r="35" spans="1:10" ht="18.75">
      <c r="A35" t="s">
        <v>163</v>
      </c>
      <c r="J35" s="215" t="s">
        <v>264</v>
      </c>
    </row>
    <row r="36" spans="1:4" ht="12.75">
      <c r="A36" s="106" t="s">
        <v>237</v>
      </c>
      <c r="B36" s="106"/>
      <c r="C36" s="106"/>
      <c r="D36" s="106"/>
    </row>
    <row r="37" spans="9:10" ht="15.75">
      <c r="I37" t="s">
        <v>273</v>
      </c>
      <c r="J37" s="215" t="s">
        <v>270</v>
      </c>
    </row>
    <row r="38" ht="12.75">
      <c r="J38" t="s">
        <v>271</v>
      </c>
    </row>
    <row r="39" ht="12.75">
      <c r="J39" t="s">
        <v>272</v>
      </c>
    </row>
  </sheetData>
  <sheetProtection selectLockedCells="1" selectUnlockedCells="1"/>
  <mergeCells count="1">
    <mergeCell ref="K3:L3"/>
  </mergeCells>
  <hyperlinks>
    <hyperlink ref="N25" r:id="rId1" display="http://www.licha.de/astro_article_ccd_sortable_compare.php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7">
      <selection activeCell="K14" sqref="K14"/>
    </sheetView>
  </sheetViews>
  <sheetFormatPr defaultColWidth="11.421875" defaultRowHeight="12.75"/>
  <cols>
    <col min="1" max="1" width="9.140625" style="0" customWidth="1"/>
    <col min="2" max="2" width="19.8515625" style="0" customWidth="1"/>
    <col min="3" max="3" width="10.28125" style="0" customWidth="1"/>
    <col min="4" max="12" width="9.140625" style="0" customWidth="1"/>
    <col min="13" max="13" width="12.421875" style="0" customWidth="1"/>
    <col min="14" max="16" width="9.140625" style="0" customWidth="1"/>
    <col min="17" max="17" width="16.00390625" style="0" customWidth="1"/>
    <col min="18" max="16384" width="9.140625" style="0" customWidth="1"/>
  </cols>
  <sheetData>
    <row r="1" spans="1:4" ht="12.75">
      <c r="A1" s="76" t="s">
        <v>164</v>
      </c>
      <c r="B1" s="76"/>
      <c r="C1" s="76"/>
      <c r="D1" s="76"/>
    </row>
    <row r="2" spans="1:11" ht="12.75">
      <c r="A2" s="76" t="s">
        <v>165</v>
      </c>
      <c r="B2" s="76"/>
      <c r="C2" s="76"/>
      <c r="D2" s="76"/>
      <c r="I2" s="81" t="s">
        <v>166</v>
      </c>
      <c r="J2" s="81"/>
      <c r="K2" s="81"/>
    </row>
    <row r="3" spans="1:4" ht="12.75">
      <c r="A3" s="76"/>
      <c r="B3" s="76"/>
      <c r="C3" s="76"/>
      <c r="D3" s="76"/>
    </row>
    <row r="4" spans="1:8" ht="12.75">
      <c r="A4" s="82" t="s">
        <v>167</v>
      </c>
      <c r="B4" s="83"/>
      <c r="C4" s="83"/>
      <c r="D4" s="83"/>
      <c r="E4" s="84"/>
      <c r="F4" s="84"/>
      <c r="G4" s="84"/>
      <c r="H4" s="85"/>
    </row>
    <row r="5" spans="1:12" ht="12.75">
      <c r="A5" s="86"/>
      <c r="B5" s="87" t="s">
        <v>168</v>
      </c>
      <c r="C5" s="87"/>
      <c r="D5" s="87"/>
      <c r="E5" s="5"/>
      <c r="F5" s="5"/>
      <c r="G5" s="5"/>
      <c r="H5" s="88"/>
      <c r="I5" s="76" t="s">
        <v>169</v>
      </c>
      <c r="J5" s="76"/>
      <c r="K5" s="76"/>
      <c r="L5" s="76"/>
    </row>
    <row r="6" spans="1:8" ht="12.75">
      <c r="A6" s="86"/>
      <c r="B6" s="87"/>
      <c r="C6" s="87"/>
      <c r="D6" s="87"/>
      <c r="E6" s="5"/>
      <c r="F6" s="5"/>
      <c r="G6" s="5"/>
      <c r="H6" s="88"/>
    </row>
    <row r="7" spans="1:8" ht="12.75">
      <c r="A7" s="89"/>
      <c r="B7" s="90" t="s">
        <v>170</v>
      </c>
      <c r="C7" s="90"/>
      <c r="D7" s="90"/>
      <c r="E7" s="91"/>
      <c r="F7" s="91"/>
      <c r="G7" s="91"/>
      <c r="H7" s="47"/>
    </row>
    <row r="8" ht="12.75">
      <c r="A8" t="s">
        <v>171</v>
      </c>
    </row>
    <row r="10" spans="1:13" ht="12.75">
      <c r="A10" s="213" t="s">
        <v>172</v>
      </c>
      <c r="H10" s="213" t="s">
        <v>173</v>
      </c>
      <c r="M10" s="96"/>
    </row>
    <row r="11" spans="1:9" ht="12.75">
      <c r="A11" s="92" t="s">
        <v>174</v>
      </c>
      <c r="B11" s="93">
        <f>simspec!G19/1000000</f>
        <v>2E-05</v>
      </c>
      <c r="C11" s="92" t="s">
        <v>175</v>
      </c>
      <c r="D11" s="92"/>
      <c r="E11" s="92"/>
      <c r="F11" s="92"/>
      <c r="G11" s="92" t="s">
        <v>176</v>
      </c>
      <c r="H11" s="94" t="s">
        <v>177</v>
      </c>
      <c r="I11" s="95">
        <f>14.1+1.2*LOG((B11*B12*B13*B14*B15*0.8*B16*B17)/(B18*B19*B20*B21),10)</f>
        <v>12.652561913857323</v>
      </c>
    </row>
    <row r="12" spans="1:7" ht="12.75">
      <c r="A12" s="92" t="s">
        <v>178</v>
      </c>
      <c r="B12" s="97">
        <f>(simspec!G7/simspec!G8)/1000</f>
        <v>0.02</v>
      </c>
      <c r="C12" s="92" t="s">
        <v>179</v>
      </c>
      <c r="D12" s="92"/>
      <c r="E12" s="92"/>
      <c r="F12" s="92"/>
      <c r="G12" s="92" t="s">
        <v>176</v>
      </c>
    </row>
    <row r="13" spans="1:7" ht="12.75">
      <c r="A13" s="92" t="s">
        <v>180</v>
      </c>
      <c r="B13" s="92">
        <f>simspec!C6/1000</f>
        <v>0.35</v>
      </c>
      <c r="C13" s="92" t="s">
        <v>181</v>
      </c>
      <c r="D13" s="92"/>
      <c r="E13" s="92"/>
      <c r="F13" s="92"/>
      <c r="G13" s="92" t="s">
        <v>176</v>
      </c>
    </row>
    <row r="14" spans="1:8" ht="12.75">
      <c r="A14" s="92" t="s">
        <v>182</v>
      </c>
      <c r="B14" s="98">
        <f>simspec!$G$42</f>
        <v>0.16250879999999998</v>
      </c>
      <c r="C14" s="92" t="s">
        <v>183</v>
      </c>
      <c r="D14" s="92"/>
      <c r="E14" s="92"/>
      <c r="F14" s="92"/>
      <c r="G14" s="92"/>
      <c r="H14" t="s">
        <v>184</v>
      </c>
    </row>
    <row r="15" spans="1:7" ht="12.75">
      <c r="A15" s="92" t="s">
        <v>185</v>
      </c>
      <c r="B15" s="92">
        <f>simspec!K8/100</f>
        <v>0.54</v>
      </c>
      <c r="C15" s="92" t="s">
        <v>186</v>
      </c>
      <c r="D15" s="92"/>
      <c r="E15" s="92"/>
      <c r="F15" s="92"/>
      <c r="G15" s="92"/>
    </row>
    <row r="16" spans="1:18" ht="12.75">
      <c r="A16" s="92" t="s">
        <v>187</v>
      </c>
      <c r="B16" s="92">
        <f>simspec!K17</f>
        <v>3600</v>
      </c>
      <c r="C16" s="92" t="s">
        <v>188</v>
      </c>
      <c r="D16" s="92"/>
      <c r="E16" s="92"/>
      <c r="F16" s="92"/>
      <c r="G16" s="92" t="s">
        <v>189</v>
      </c>
      <c r="L16" s="35"/>
      <c r="M16" s="35"/>
      <c r="N16" s="35"/>
      <c r="O16" s="35"/>
      <c r="P16" s="35"/>
      <c r="Q16" s="35"/>
      <c r="R16" s="35"/>
    </row>
    <row r="17" spans="1:18" ht="12.75">
      <c r="A17" s="92" t="s">
        <v>190</v>
      </c>
      <c r="B17" s="99">
        <f>simspec!G14/1000/(simspec!G24*simspec!G21)</f>
        <v>8.163993293679518E-07</v>
      </c>
      <c r="C17" s="92" t="s">
        <v>191</v>
      </c>
      <c r="D17" s="92"/>
      <c r="E17" s="92"/>
      <c r="F17" s="92"/>
      <c r="G17" s="92" t="s">
        <v>192</v>
      </c>
      <c r="H17" s="35" t="s">
        <v>193</v>
      </c>
      <c r="I17" s="35"/>
      <c r="J17" s="35" t="s">
        <v>194</v>
      </c>
      <c r="K17" s="35"/>
      <c r="L17" s="35"/>
      <c r="M17" s="35"/>
      <c r="N17" s="35"/>
      <c r="O17" s="35"/>
      <c r="P17" s="35"/>
      <c r="Q17" s="35"/>
      <c r="R17" s="35"/>
    </row>
    <row r="18" spans="1:18" ht="12.75">
      <c r="A18" s="92" t="s">
        <v>195</v>
      </c>
      <c r="B18" s="92">
        <f>simspec!G7/1000</f>
        <v>0.2</v>
      </c>
      <c r="C18" s="92" t="s">
        <v>196</v>
      </c>
      <c r="D18" s="92"/>
      <c r="E18" s="92"/>
      <c r="F18" s="92"/>
      <c r="G18" s="92" t="s">
        <v>176</v>
      </c>
      <c r="H18" s="35"/>
      <c r="I18" s="35"/>
      <c r="J18" s="35"/>
      <c r="K18" s="35"/>
      <c r="L18" s="35"/>
      <c r="M18" s="35"/>
      <c r="N18" s="35"/>
      <c r="O18" s="35"/>
      <c r="P18" s="35"/>
      <c r="Q18" s="100"/>
      <c r="R18" s="101"/>
    </row>
    <row r="19" spans="1:18" ht="12.75">
      <c r="A19" s="92" t="s">
        <v>197</v>
      </c>
      <c r="B19" s="92">
        <f>simspec!G12/1000</f>
        <v>0.2</v>
      </c>
      <c r="C19" s="92" t="s">
        <v>198</v>
      </c>
      <c r="D19" s="92"/>
      <c r="E19" s="92"/>
      <c r="F19" s="92"/>
      <c r="G19" s="92" t="s">
        <v>176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2.75">
      <c r="A20" s="92" t="s">
        <v>199</v>
      </c>
      <c r="B20" s="102">
        <f>simspec!C13*5/100000</f>
        <v>0.00015</v>
      </c>
      <c r="C20" s="92" t="s">
        <v>200</v>
      </c>
      <c r="D20" s="92"/>
      <c r="E20" s="92"/>
      <c r="F20" s="92"/>
      <c r="G20" s="92" t="s">
        <v>201</v>
      </c>
      <c r="H20" s="35" t="s">
        <v>202</v>
      </c>
      <c r="I20" s="35"/>
      <c r="J20" s="35"/>
      <c r="K20" s="35"/>
      <c r="L20" s="35"/>
      <c r="M20" s="35"/>
      <c r="N20" s="35"/>
      <c r="O20" s="35"/>
      <c r="P20" s="103"/>
      <c r="Q20" s="35"/>
      <c r="R20" s="35"/>
    </row>
    <row r="21" spans="1:18" ht="12.75">
      <c r="A21" s="92" t="s">
        <v>203</v>
      </c>
      <c r="B21" s="93">
        <f>simspec!K19*simspec!K6/1000000</f>
        <v>7.740000000000001E-05</v>
      </c>
      <c r="C21" s="92" t="s">
        <v>204</v>
      </c>
      <c r="D21" s="92"/>
      <c r="E21" s="92"/>
      <c r="F21" s="92"/>
      <c r="G21" s="92" t="s">
        <v>176</v>
      </c>
      <c r="H21" s="35" t="s">
        <v>205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8:11" ht="12.75">
      <c r="H22" s="35"/>
      <c r="I22" s="35"/>
      <c r="J22" s="35"/>
      <c r="K22" s="35"/>
    </row>
    <row r="23" ht="12.75">
      <c r="A23" t="s">
        <v>206</v>
      </c>
    </row>
    <row r="25" spans="1:11" s="56" customFormat="1" ht="12.75">
      <c r="A25" s="76" t="s">
        <v>207</v>
      </c>
      <c r="B25"/>
      <c r="C25"/>
      <c r="D25"/>
      <c r="E25"/>
      <c r="F25"/>
      <c r="G25"/>
      <c r="H25"/>
      <c r="I25"/>
      <c r="J25"/>
      <c r="K25"/>
    </row>
    <row r="26" spans="1:11" ht="12.75">
      <c r="A26" s="212" t="s">
        <v>259</v>
      </c>
      <c r="B26" s="212"/>
      <c r="C26" s="212"/>
      <c r="D26" s="212"/>
      <c r="E26" s="212"/>
      <c r="F26" s="56"/>
      <c r="G26" s="56"/>
      <c r="H26" s="56"/>
      <c r="I26" s="56"/>
      <c r="J26" s="56"/>
      <c r="K26" s="56"/>
    </row>
    <row r="27" ht="12.75">
      <c r="A27" t="s">
        <v>260</v>
      </c>
    </row>
    <row r="28" ht="12.75">
      <c r="A28" t="s">
        <v>208</v>
      </c>
    </row>
    <row r="29" ht="12.75">
      <c r="A29" t="s">
        <v>261</v>
      </c>
    </row>
    <row r="31" spans="1:5" ht="12.75">
      <c r="A31" s="87" t="s">
        <v>258</v>
      </c>
      <c r="B31" s="87"/>
      <c r="C31" s="87"/>
      <c r="D31" s="5"/>
      <c r="E31" s="5"/>
    </row>
    <row r="33" ht="12.75">
      <c r="A33" t="s">
        <v>209</v>
      </c>
    </row>
    <row r="34" ht="12.75">
      <c r="B34" t="s">
        <v>210</v>
      </c>
    </row>
    <row r="35" ht="12.75">
      <c r="B35" t="s">
        <v>211</v>
      </c>
    </row>
    <row r="36" spans="2:4" ht="12.75">
      <c r="B36" t="s">
        <v>212</v>
      </c>
      <c r="C36" s="104" t="s">
        <v>213</v>
      </c>
      <c r="D36" t="s">
        <v>214</v>
      </c>
    </row>
    <row r="37" spans="2:4" ht="12.75">
      <c r="B37" t="s">
        <v>215</v>
      </c>
      <c r="C37" t="s">
        <v>216</v>
      </c>
      <c r="D37" t="s">
        <v>217</v>
      </c>
    </row>
    <row r="38" spans="2:4" ht="12.75">
      <c r="B38">
        <v>51</v>
      </c>
      <c r="C38">
        <v>7</v>
      </c>
      <c r="D38">
        <v>7.03</v>
      </c>
    </row>
    <row r="39" spans="2:4" ht="12.75">
      <c r="B39">
        <v>130</v>
      </c>
      <c r="C39">
        <v>8</v>
      </c>
      <c r="D39">
        <v>7.97</v>
      </c>
    </row>
    <row r="40" spans="2:4" ht="12.75">
      <c r="B40">
        <v>335</v>
      </c>
      <c r="C40">
        <v>9</v>
      </c>
      <c r="D40">
        <v>8.92</v>
      </c>
    </row>
    <row r="41" spans="2:4" ht="12.75">
      <c r="B41">
        <v>900</v>
      </c>
      <c r="C41">
        <v>10</v>
      </c>
      <c r="D41">
        <v>9.9</v>
      </c>
    </row>
    <row r="42" spans="2:4" ht="12.75">
      <c r="B42">
        <v>2680</v>
      </c>
      <c r="C42">
        <v>11</v>
      </c>
      <c r="D42">
        <v>10.99</v>
      </c>
    </row>
    <row r="43" spans="2:4" ht="12.75">
      <c r="B43">
        <v>9800</v>
      </c>
      <c r="C43">
        <v>12</v>
      </c>
      <c r="D43">
        <v>12.29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Buil</dc:creator>
  <cp:keywords/>
  <dc:description/>
  <cp:lastModifiedBy>Christian Buil</cp:lastModifiedBy>
  <dcterms:created xsi:type="dcterms:W3CDTF">2012-04-20T04:40:16Z</dcterms:created>
  <dcterms:modified xsi:type="dcterms:W3CDTF">2012-07-07T11:34:26Z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